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5O8K5G5Ak1vLNdhRHp18GW+n+Xx1L9fOpG66uhBNfvCN5uyHKql1zJ/5iA7QneDECTp458HZBeTsCBh557J+w==" workbookSaltValue="lVMIKqZYMzzTgV9PBu+o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L13" i="14" s="1"/>
  <c r="C10" i="2"/>
  <c r="D10" i="2" s="1"/>
  <c r="C11" i="2"/>
  <c r="C12" i="2"/>
  <c r="C13" i="2"/>
  <c r="D13" i="2" s="1"/>
  <c r="G9" i="2"/>
  <c r="G10" i="2"/>
  <c r="C10" i="6" s="1"/>
  <c r="G11" i="2"/>
  <c r="G12" i="2"/>
  <c r="G13" i="2"/>
  <c r="E9" i="2"/>
  <c r="E10" i="2"/>
  <c r="E11" i="2"/>
  <c r="E12" i="2"/>
  <c r="E13" i="2"/>
  <c r="AL13" i="11" s="1"/>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F10" i="2" s="1"/>
  <c r="A11" i="2"/>
  <c r="B11" i="2"/>
  <c r="A12" i="2"/>
  <c r="B12" i="2"/>
  <c r="H12" i="2" s="1"/>
  <c r="A13" i="2"/>
  <c r="B13" i="2"/>
  <c r="J13" i="2" s="1"/>
  <c r="A14" i="2"/>
  <c r="B14" i="2"/>
  <c r="A15" i="2"/>
  <c r="A16" i="2"/>
  <c r="B16" i="2"/>
  <c r="J16" i="2" s="1"/>
  <c r="A17" i="2"/>
  <c r="B17" i="2"/>
  <c r="A18" i="2"/>
  <c r="B18" i="2"/>
  <c r="F18" i="2" s="1"/>
  <c r="A19" i="2"/>
  <c r="B19" i="2"/>
  <c r="A20" i="2"/>
  <c r="B20" i="2"/>
  <c r="A21" i="2"/>
  <c r="A22" i="2"/>
  <c r="B22" i="2"/>
  <c r="A23" i="2"/>
  <c r="A24" i="2"/>
  <c r="A25" i="2"/>
  <c r="B25" i="2"/>
  <c r="C25" i="2"/>
  <c r="E25" i="2"/>
  <c r="F25" i="2" s="1"/>
  <c r="G25" i="2"/>
  <c r="I25" i="2"/>
  <c r="L25" i="14" s="1"/>
  <c r="A26" i="2"/>
  <c r="A27" i="2"/>
  <c r="A28" i="2"/>
  <c r="C28" i="2"/>
  <c r="D28" i="2" s="1"/>
  <c r="E28" i="2"/>
  <c r="F28" i="2" s="1"/>
  <c r="G28" i="2"/>
  <c r="H28" i="2" s="1"/>
  <c r="I28" i="2"/>
  <c r="A29" i="2"/>
  <c r="B29" i="2"/>
  <c r="C29" i="2"/>
  <c r="D29" i="2" s="1"/>
  <c r="E29" i="2"/>
  <c r="G29" i="2"/>
  <c r="B29" i="6"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I13" i="7"/>
  <c r="E21" i="6"/>
  <c r="AO21" i="11"/>
  <c r="D21" i="2"/>
  <c r="B21" i="6"/>
  <c r="AN21" i="11"/>
  <c r="W30" i="11"/>
  <c r="M14" i="11"/>
  <c r="AR19" i="11"/>
  <c r="M23" i="11"/>
  <c r="BA14" i="16"/>
  <c r="AR22" i="17"/>
  <c r="I11" i="3"/>
  <c r="H26" i="3"/>
  <c r="I26" i="3" s="1"/>
  <c r="D10" i="6"/>
  <c r="E18" i="3"/>
  <c r="L10" i="14"/>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17" i="10"/>
  <c r="L9" i="14"/>
  <c r="J9" i="2"/>
  <c r="BI16" i="16"/>
  <c r="AN16" i="11"/>
  <c r="B16" i="6"/>
  <c r="Y12" i="11"/>
  <c r="E14" i="21"/>
  <c r="T10" i="21"/>
  <c r="AL14" i="21"/>
  <c r="E23" i="2"/>
  <c r="AO16" i="11"/>
  <c r="H30" i="3"/>
  <c r="BI18" i="16"/>
  <c r="G17" i="3"/>
  <c r="AO17" i="11"/>
  <c r="D17" i="2"/>
  <c r="E16" i="6"/>
  <c r="I16" i="7"/>
  <c r="C16" i="6"/>
  <c r="I16" i="12" s="1"/>
  <c r="Y25" i="11"/>
  <c r="W26" i="11"/>
  <c r="K29" i="7"/>
  <c r="F10" i="10"/>
  <c r="E28" i="3"/>
  <c r="D26" i="14"/>
  <c r="D11" i="2"/>
  <c r="B19" i="6"/>
  <c r="AO10" i="11"/>
  <c r="B10" i="6"/>
  <c r="AL28" i="11"/>
  <c r="E13" i="6"/>
  <c r="I10" i="7"/>
  <c r="H10" i="2"/>
  <c r="C13" i="6"/>
  <c r="AO19" i="11"/>
  <c r="F19" i="2"/>
  <c r="D19" i="6"/>
  <c r="J19" i="12" s="1"/>
  <c r="J19" i="7"/>
  <c r="H19" i="2"/>
  <c r="AN19" i="11"/>
  <c r="C19" i="6"/>
  <c r="I19" i="12" s="1"/>
  <c r="Y9" i="11"/>
  <c r="W14" i="11"/>
  <c r="F9" i="12"/>
  <c r="F12" i="2"/>
  <c r="AN10" i="11"/>
  <c r="J22" i="2"/>
  <c r="C25" i="6"/>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BM31" i="8"/>
  <c r="BD21" i="13"/>
  <c r="Y31" i="8"/>
  <c r="AK31" i="8"/>
  <c r="CI31" i="8"/>
  <c r="R31" i="8"/>
  <c r="Z31" i="8"/>
  <c r="BK31" i="8"/>
  <c r="F16" i="11"/>
  <c r="AQ16" i="11" s="1"/>
  <c r="AA31" i="8"/>
  <c r="AE31" i="8"/>
  <c r="AI31" i="8"/>
  <c r="F18" i="16"/>
  <c r="EP31" i="8"/>
  <c r="AX23" i="11"/>
  <c r="AX26" i="11" s="1"/>
  <c r="ER31" i="13"/>
  <c r="AL14" i="16"/>
  <c r="AJ14" i="16"/>
  <c r="AJ31" i="16" s="1"/>
  <c r="EP31" i="19"/>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N30" i="16"/>
  <c r="BC33" i="21"/>
  <c r="G14" i="21"/>
  <c r="H14" i="21"/>
  <c r="AN14" i="20"/>
  <c r="AT18" i="20"/>
  <c r="O23" i="17"/>
  <c r="O31" i="17" s="1"/>
  <c r="Y14" i="17"/>
  <c r="AC26" i="16"/>
  <c r="AV14" i="16"/>
  <c r="AO26" i="16"/>
  <c r="J23" i="20"/>
  <c r="AE23" i="20"/>
  <c r="AS21" i="20"/>
  <c r="AQ13" i="17"/>
  <c r="J14" i="17"/>
  <c r="AL14" i="17"/>
  <c r="AU14" i="17"/>
  <c r="Z14" i="17"/>
  <c r="T14" i="17"/>
  <c r="AQ21" i="17"/>
  <c r="G14" i="17"/>
  <c r="K14" i="17"/>
  <c r="R30" i="17"/>
  <c r="F18" i="17"/>
  <c r="AQ18" i="17" s="1"/>
  <c r="Y23" i="17"/>
  <c r="E26" i="2"/>
  <c r="F26" i="2" s="1"/>
  <c r="AL9" i="11"/>
  <c r="AO18" i="11"/>
  <c r="AL18" i="11"/>
  <c r="C23" i="2"/>
  <c r="D23" i="2" s="1"/>
  <c r="K26" i="2"/>
  <c r="AN11" i="11"/>
  <c r="H18" i="7"/>
  <c r="K23" i="2"/>
  <c r="C11" i="6"/>
  <c r="I11" i="12" s="1"/>
  <c r="AN18" i="11"/>
  <c r="J21" i="2"/>
  <c r="J11" i="7"/>
  <c r="B11" i="6"/>
  <c r="N26" i="2"/>
  <c r="L11" i="14"/>
  <c r="H18" i="2"/>
  <c r="H16" i="2"/>
  <c r="M14" i="2"/>
  <c r="M23" i="2"/>
  <c r="N14" i="2"/>
  <c r="K18" i="7"/>
  <c r="C18" i="6"/>
  <c r="AL11" i="11"/>
  <c r="L18" i="14"/>
  <c r="B18" i="6"/>
  <c r="J29" i="2"/>
  <c r="AO11" i="11"/>
  <c r="I11" i="7"/>
  <c r="D18" i="2"/>
  <c r="AO9" i="11"/>
  <c r="L20" i="14"/>
  <c r="G26" i="2"/>
  <c r="D18" i="6"/>
  <c r="J18" i="12" s="1"/>
  <c r="AO12" i="11"/>
  <c r="N23" i="2"/>
  <c r="K30" i="2"/>
  <c r="J20" i="2"/>
  <c r="G14" i="2"/>
  <c r="H14" i="2" s="1"/>
  <c r="F16" i="2"/>
  <c r="C30" i="2"/>
  <c r="D30" i="2" s="1"/>
  <c r="L12" i="14"/>
  <c r="H29" i="2"/>
  <c r="H20" i="2"/>
  <c r="E20" i="6"/>
  <c r="B20" i="6"/>
  <c r="I14" i="2"/>
  <c r="J14" i="2" s="1"/>
  <c r="AN12" i="11"/>
  <c r="F20" i="2"/>
  <c r="AL12" i="11"/>
  <c r="I12" i="7"/>
  <c r="E14" i="2"/>
  <c r="F29" i="2"/>
  <c r="C20" i="6"/>
  <c r="F13" i="2"/>
  <c r="J20" i="7"/>
  <c r="C14" i="2"/>
  <c r="D14" i="2" s="1"/>
  <c r="D12" i="6"/>
  <c r="J12" i="12" s="1"/>
  <c r="C12" i="6"/>
  <c r="I12" i="12" s="1"/>
  <c r="B12" i="6"/>
  <c r="E12" i="6"/>
  <c r="E28" i="6"/>
  <c r="D20" i="6"/>
  <c r="J20" i="12" s="1"/>
  <c r="G23" i="2"/>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T14" i="16"/>
  <c r="T14" i="20"/>
  <c r="F14" i="12"/>
  <c r="F30" i="3"/>
  <c r="G30" i="3" s="1"/>
  <c r="S31" i="8"/>
  <c r="BE25" i="8"/>
  <c r="BD25" i="8"/>
  <c r="BG25" i="8"/>
  <c r="K25" i="7" s="1"/>
  <c r="BA26" i="8"/>
  <c r="BF25" i="8"/>
  <c r="J25" i="7" s="1"/>
  <c r="AY23" i="8"/>
  <c r="BB26" i="13"/>
  <c r="BE26" i="13" s="1"/>
  <c r="K26" i="11"/>
  <c r="K30" i="11" s="1"/>
  <c r="BB31" i="19"/>
  <c r="BF16" i="8"/>
  <c r="AE31" i="13"/>
  <c r="D30" i="12"/>
  <c r="B30" i="7"/>
  <c r="BE28" i="8"/>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AE14" i="17"/>
  <c r="BF30" i="13"/>
  <c r="AO20" i="11"/>
  <c r="BC26" i="13"/>
  <c r="BC31" i="13" s="1"/>
  <c r="BG30" i="13"/>
  <c r="J18" i="7"/>
  <c r="BG21" i="8"/>
  <c r="N14" i="17"/>
  <c r="AT22" i="20"/>
  <c r="P23" i="20"/>
  <c r="BF30" i="16"/>
  <c r="E26" i="17"/>
  <c r="BD23" i="16"/>
  <c r="AY33" i="20"/>
  <c r="H30" i="12"/>
  <c r="C30" i="7"/>
  <c r="AK23" i="17"/>
  <c r="Z14" i="20"/>
  <c r="AK14" i="17"/>
  <c r="AF14" i="17"/>
  <c r="AF23" i="20"/>
  <c r="AN23" i="20"/>
  <c r="AN33" i="20" s="1"/>
  <c r="F17" i="11"/>
  <c r="I31" i="8"/>
  <c r="F17" i="17"/>
  <c r="U31" i="13"/>
  <c r="AU23" i="17"/>
  <c r="G30" i="16"/>
  <c r="AG14" i="17"/>
  <c r="AJ14" i="17"/>
  <c r="AJ23" i="17"/>
  <c r="J23" i="17"/>
  <c r="K23" i="17"/>
  <c r="AA14" i="17"/>
  <c r="BL25" i="16"/>
  <c r="E14" i="17"/>
  <c r="AH14" i="16"/>
  <c r="AW23" i="20"/>
  <c r="AW26" i="20" s="1"/>
  <c r="AW30" i="20" s="1"/>
  <c r="AO14" i="21"/>
  <c r="BC31" i="21"/>
  <c r="AV23" i="20"/>
  <c r="AV31" i="20" s="1"/>
  <c r="AK23" i="20"/>
  <c r="O23" i="20"/>
  <c r="F31" i="7"/>
  <c r="J16" i="7"/>
  <c r="BL18" i="16"/>
  <c r="Z23" i="16"/>
  <c r="BF14" i="16"/>
  <c r="BL19" i="16"/>
  <c r="AP14" i="16"/>
  <c r="AL31" i="16"/>
  <c r="BK14" i="16"/>
  <c r="O23" i="16"/>
  <c r="O26" i="16" s="1"/>
  <c r="R26" i="16"/>
  <c r="AB14" i="16"/>
  <c r="G14" i="16"/>
  <c r="BD14" i="16"/>
  <c r="AB26" i="16"/>
  <c r="BE14" i="16"/>
  <c r="F16" i="16"/>
  <c r="BL16" i="16" s="1"/>
  <c r="BL28" i="16"/>
  <c r="K14" i="2"/>
  <c r="U14" i="16"/>
  <c r="AF14" i="16"/>
  <c r="AA14" i="11"/>
  <c r="F11" i="11"/>
  <c r="AQ11" i="11" s="1"/>
  <c r="F11" i="16"/>
  <c r="BL11" i="16" s="1"/>
  <c r="E9" i="6"/>
  <c r="W23" i="16"/>
  <c r="W26" i="16" s="1"/>
  <c r="W30" i="16" s="1"/>
  <c r="W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Y18" i="11" l="1"/>
  <c r="AL23" i="11"/>
  <c r="AV23" i="21"/>
  <c r="H31" i="12"/>
  <c r="I28" i="7"/>
  <c r="H25" i="7"/>
  <c r="J28" i="7"/>
  <c r="J23" i="2"/>
  <c r="F14" i="2"/>
  <c r="F9" i="2"/>
  <c r="AL29" i="11"/>
  <c r="B25" i="6"/>
  <c r="AL25" i="11"/>
  <c r="J19" i="2"/>
  <c r="F23" i="2"/>
  <c r="B14" i="6"/>
  <c r="H11" i="2"/>
  <c r="AL14" i="11"/>
  <c r="R8" i="9"/>
  <c r="R13" i="14" s="1"/>
  <c r="BE11"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9" i="11"/>
  <c r="AM17" i="11"/>
  <c r="AO21" i="17"/>
  <c r="AY29" i="11"/>
  <c r="R12" i="14"/>
  <c r="AM25" i="11"/>
  <c r="AM11" i="11"/>
  <c r="AO18" i="17"/>
  <c r="AO12" i="17"/>
  <c r="BJ16" i="11"/>
  <c r="BJ11" i="11"/>
  <c r="X9" i="17"/>
  <c r="BI21" i="11"/>
  <c r="BF29" i="11"/>
  <c r="V21" i="11"/>
  <c r="BH10" i="11"/>
  <c r="BE22" i="11"/>
  <c r="Q10" i="21"/>
  <c r="BG9" i="11"/>
  <c r="BL25" i="11"/>
  <c r="S9" i="14"/>
  <c r="V9" i="14" s="1"/>
  <c r="BH16" i="11"/>
  <c r="AO17" i="17"/>
  <c r="BJ25" i="11"/>
  <c r="BH19" i="11"/>
  <c r="BH22" i="16"/>
  <c r="BI16" i="11"/>
  <c r="R10" i="21"/>
  <c r="R14" i="21" s="1"/>
  <c r="X18" i="20"/>
  <c r="BI12" i="11"/>
  <c r="X20" i="20"/>
  <c r="AP16" i="20"/>
  <c r="BF16" i="11"/>
  <c r="AY13" i="11"/>
  <c r="T14" i="11"/>
  <c r="AM16" i="11"/>
  <c r="AO10" i="17"/>
  <c r="BG13" i="11"/>
  <c r="BH28" i="16"/>
  <c r="R18" i="20"/>
  <c r="R23" i="20" s="1"/>
  <c r="V29" i="11"/>
  <c r="BK21" i="11"/>
  <c r="V22" i="11"/>
  <c r="BJ18" i="11"/>
  <c r="T20" i="11"/>
  <c r="AY9" i="11"/>
  <c r="AM19" i="11"/>
  <c r="AP14" i="21"/>
  <c r="BL20" i="11"/>
  <c r="AP18" i="20"/>
  <c r="BI28" i="11"/>
  <c r="BF21" i="11"/>
  <c r="T29" i="11"/>
  <c r="S16" i="14"/>
  <c r="V16" i="14" s="1"/>
  <c r="X25" i="17"/>
  <c r="X22" i="20"/>
  <c r="U10" i="21"/>
  <c r="V9" i="16"/>
  <c r="AA9" i="16"/>
  <c r="AA23" i="16"/>
  <c r="L21" i="2"/>
  <c r="V10" i="16"/>
  <c r="U9" i="17"/>
  <c r="U31" i="17" s="1"/>
  <c r="X16" i="16"/>
  <c r="X23" i="16" s="1"/>
  <c r="X10" i="21"/>
  <c r="L13" i="2"/>
  <c r="X19" i="16"/>
  <c r="L17" i="2"/>
  <c r="V19" i="16"/>
  <c r="L11" i="2"/>
  <c r="L29" i="2"/>
  <c r="AA10" i="16"/>
  <c r="X22" i="16"/>
  <c r="L22" i="2"/>
  <c r="X12" i="17"/>
  <c r="S13" i="17"/>
  <c r="BG22" i="11"/>
  <c r="BK17" i="11"/>
  <c r="BH14" i="16"/>
  <c r="BJ10" i="11"/>
  <c r="BG25" i="11"/>
  <c r="BH12" i="16"/>
  <c r="AO25" i="17"/>
  <c r="BL9" i="11"/>
  <c r="BL21" i="11"/>
  <c r="R19" i="14"/>
  <c r="T11" i="11"/>
  <c r="BE16" i="11"/>
  <c r="BL18" i="11"/>
  <c r="Q16" i="17"/>
  <c r="BJ17" i="11"/>
  <c r="BH26" i="16"/>
  <c r="S10" i="17"/>
  <c r="T12" i="11"/>
  <c r="T19" i="20"/>
  <c r="BJ20" i="11"/>
  <c r="BG21" i="11"/>
  <c r="BH25" i="16"/>
  <c r="BK16" i="11"/>
  <c r="BE12" i="11"/>
  <c r="BK20" i="11"/>
  <c r="BH20" i="11"/>
  <c r="Q18" i="17"/>
  <c r="BF12" i="11"/>
  <c r="X18" i="17"/>
  <c r="S18" i="14"/>
  <c r="V18" i="14" s="1"/>
  <c r="AY11" i="11"/>
  <c r="S29" i="14"/>
  <c r="V29" i="14" s="1"/>
  <c r="R17" i="14"/>
  <c r="S11" i="14"/>
  <c r="V11" i="14" s="1"/>
  <c r="R10" i="14"/>
  <c r="X16" i="17"/>
  <c r="AY12" i="11"/>
  <c r="AA16" i="16"/>
  <c r="AY17" i="11"/>
  <c r="T21" i="11"/>
  <c r="R28" i="14"/>
  <c r="AA18" i="16"/>
  <c r="T13" i="11"/>
  <c r="S25" i="17"/>
  <c r="AY10" i="11"/>
  <c r="AA29" i="16"/>
  <c r="AA28" i="16"/>
  <c r="S22" i="17"/>
  <c r="BT20" i="16"/>
  <c r="BT17" i="17"/>
  <c r="S11" i="17"/>
  <c r="BT22" i="16"/>
  <c r="BT13" i="17"/>
  <c r="BT10" i="20"/>
  <c r="BT28" i="20"/>
  <c r="BT19" i="17"/>
  <c r="S21" i="17"/>
  <c r="U10" i="17"/>
  <c r="BT20" i="17"/>
  <c r="BT16" i="20"/>
  <c r="X17" i="16"/>
  <c r="BT11" i="16"/>
  <c r="BT25" i="16"/>
  <c r="BT29" i="17"/>
  <c r="BT17" i="20"/>
  <c r="BT21" i="16"/>
  <c r="BT17" i="16"/>
  <c r="BT13" i="20"/>
  <c r="BT21" i="17"/>
  <c r="U12" i="17"/>
  <c r="BT13" i="16"/>
  <c r="BT9" i="20"/>
  <c r="BT28" i="16"/>
  <c r="BT11" i="17"/>
  <c r="BT25" i="17"/>
  <c r="BT28" i="17"/>
  <c r="S10" i="14"/>
  <c r="V10" i="14" s="1"/>
  <c r="BI25" i="11"/>
  <c r="AO28" i="17"/>
  <c r="T18" i="16"/>
  <c r="BL16" i="11"/>
  <c r="BG18" i="11"/>
  <c r="BK13" i="11"/>
  <c r="AQ14" i="21"/>
  <c r="AP23" i="21"/>
  <c r="V13" i="16"/>
  <c r="BF9" i="11"/>
  <c r="BI20" i="11"/>
  <c r="BG20" i="11"/>
  <c r="V28" i="11"/>
  <c r="AO26" i="17"/>
  <c r="AM9" i="11"/>
  <c r="S17" i="14"/>
  <c r="V17" i="14" s="1"/>
  <c r="V13" i="11"/>
  <c r="BL12" i="11"/>
  <c r="BH25" i="11"/>
  <c r="V11" i="11"/>
  <c r="X17" i="20"/>
  <c r="AM12" i="11"/>
  <c r="AM20" i="11"/>
  <c r="V18" i="16"/>
  <c r="X19" i="20"/>
  <c r="X11" i="17"/>
  <c r="V12" i="21"/>
  <c r="AQ26" i="21"/>
  <c r="BK12" i="11"/>
  <c r="BJ29" i="11"/>
  <c r="AO16" i="17"/>
  <c r="BE25" i="11"/>
  <c r="AO13" i="17"/>
  <c r="BE29" i="11"/>
  <c r="BE21" i="11"/>
  <c r="AO30" i="17"/>
  <c r="Q18" i="20"/>
  <c r="Q23" i="20" s="1"/>
  <c r="BH16" i="16"/>
  <c r="BF25" i="11"/>
  <c r="BE13" i="11"/>
  <c r="V16" i="11"/>
  <c r="BH9" i="16"/>
  <c r="T18" i="11"/>
  <c r="R18" i="14"/>
  <c r="X14" i="20"/>
  <c r="S21" i="14"/>
  <c r="V21" i="14" s="1"/>
  <c r="R22" i="14"/>
  <c r="T18" i="20"/>
  <c r="AA12" i="21"/>
  <c r="R31" i="20"/>
  <c r="R31" i="19"/>
  <c r="AS14" i="21"/>
  <c r="AP23" i="20"/>
  <c r="B23" i="6"/>
  <c r="I13" i="12"/>
  <c r="I10" i="12"/>
  <c r="D9" i="12"/>
  <c r="F26" i="3"/>
  <c r="G26" i="3" s="1"/>
  <c r="AM14" i="11"/>
  <c r="C29" i="6"/>
  <c r="I29" i="12" s="1"/>
  <c r="H25" i="2"/>
  <c r="BE14" i="13"/>
  <c r="J9" i="12"/>
  <c r="C14" i="6"/>
  <c r="D26" i="6"/>
  <c r="AO14" i="11"/>
  <c r="AO14" i="17"/>
  <c r="BD14" i="13"/>
  <c r="H33" i="11"/>
  <c r="J13" i="10"/>
  <c r="L13" i="10" s="1"/>
  <c r="AC20" i="11"/>
  <c r="AM14" i="21"/>
  <c r="Q9" i="11"/>
  <c r="AN29" i="11"/>
  <c r="D23" i="3"/>
  <c r="E23" i="3" s="1"/>
  <c r="J25" i="10"/>
  <c r="L25" i="10" s="1"/>
  <c r="E14" i="6"/>
  <c r="AB26" i="17"/>
  <c r="AW33" i="17"/>
  <c r="AC26" i="17"/>
  <c r="W14" i="17"/>
  <c r="X14" i="17" s="1"/>
  <c r="AG14" i="11"/>
  <c r="F16" i="17"/>
  <c r="AQ16" i="17" s="1"/>
  <c r="K9" i="12"/>
  <c r="I9" i="12"/>
  <c r="K10" i="12"/>
  <c r="J16" i="12"/>
  <c r="AN25" i="11"/>
  <c r="R31" i="21"/>
  <c r="L31" i="21"/>
  <c r="G32" i="21"/>
  <c r="M31" i="21"/>
  <c r="BE23" i="19"/>
  <c r="BF23" i="19"/>
  <c r="AC31" i="17"/>
  <c r="F11" i="17"/>
  <c r="AQ11" i="17" s="1"/>
  <c r="BK31" i="13"/>
  <c r="AA31" i="13"/>
  <c r="N31" i="13"/>
  <c r="C14" i="5"/>
  <c r="Y28" i="11"/>
  <c r="AP29" i="11"/>
  <c r="AP20" i="11"/>
  <c r="AP18" i="11"/>
  <c r="AP16" i="11"/>
  <c r="Y10" i="11"/>
  <c r="AP11" i="11"/>
  <c r="J28" i="10"/>
  <c r="L28" i="10" s="1"/>
  <c r="C31" i="2"/>
  <c r="AB31" i="21"/>
  <c r="AN31" i="20"/>
  <c r="BE30" i="19"/>
  <c r="BE30" i="13"/>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W31"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Q23" i="17" l="1"/>
  <c r="Q31" i="17" s="1"/>
  <c r="X12" i="21"/>
  <c r="Q16" i="11"/>
  <c r="T9" i="11"/>
  <c r="R29" i="14"/>
  <c r="BK19" i="11"/>
  <c r="BI18" i="11"/>
  <c r="BL17" i="11"/>
  <c r="BE28" i="11"/>
  <c r="BJ12" i="11"/>
  <c r="BJ14" i="11" s="1"/>
  <c r="BJ19" i="11"/>
  <c r="AM21" i="11"/>
  <c r="AY19" i="11"/>
  <c r="BJ21" i="11"/>
  <c r="AY18" i="11"/>
  <c r="AP21" i="20"/>
  <c r="V9" i="11"/>
  <c r="BI29" i="11"/>
  <c r="AP22" i="20"/>
  <c r="S28" i="14"/>
  <c r="V28" i="14" s="1"/>
  <c r="BK11" i="11"/>
  <c r="BK25" i="11"/>
  <c r="AY21" i="11"/>
  <c r="BK29" i="11"/>
  <c r="AY16" i="11"/>
  <c r="AY23" i="11" s="1"/>
  <c r="BT16" i="17"/>
  <c r="BT19" i="20"/>
  <c r="V16" i="20"/>
  <c r="BT18" i="20"/>
  <c r="BT12" i="16"/>
  <c r="BT12" i="20"/>
  <c r="BT16" i="16"/>
  <c r="X21" i="16"/>
  <c r="BT9" i="17"/>
  <c r="BT29" i="20"/>
  <c r="BT22" i="20"/>
  <c r="BT29" i="16"/>
  <c r="BT21" i="20"/>
  <c r="BT9" i="16"/>
  <c r="AY22" i="11"/>
  <c r="AA20" i="16"/>
  <c r="S12" i="14"/>
  <c r="V12" i="14" s="1"/>
  <c r="X10" i="17"/>
  <c r="T28" i="11"/>
  <c r="X13" i="17"/>
  <c r="BE20" i="11"/>
  <c r="AY28" i="11"/>
  <c r="S13" i="14"/>
  <c r="V13" i="14" s="1"/>
  <c r="P16" i="17"/>
  <c r="P23" i="17" s="1"/>
  <c r="P31" i="17" s="1"/>
  <c r="BG10" i="11"/>
  <c r="AQ10" i="21"/>
  <c r="AO29" i="17"/>
  <c r="AY25" i="11"/>
  <c r="AY30" i="11" s="1"/>
  <c r="BI10" i="11"/>
  <c r="BH29" i="11"/>
  <c r="BF17" i="11"/>
  <c r="S18" i="17"/>
  <c r="BK22" i="11"/>
  <c r="BH22" i="11"/>
  <c r="BI17" i="11"/>
  <c r="BH21" i="11"/>
  <c r="AA23" i="21"/>
  <c r="X21" i="17"/>
  <c r="L10" i="2"/>
  <c r="X21" i="20"/>
  <c r="X12" i="16"/>
  <c r="S17" i="17"/>
  <c r="L12" i="2"/>
  <c r="V21" i="16"/>
  <c r="L19" i="2"/>
  <c r="L20" i="2"/>
  <c r="AA11" i="16"/>
  <c r="V25" i="16"/>
  <c r="AA25" i="16"/>
  <c r="L16" i="2"/>
  <c r="L18" i="2"/>
  <c r="X25" i="16"/>
  <c r="X30" i="16" s="1"/>
  <c r="X13" i="16"/>
  <c r="AP17" i="20"/>
  <c r="BI22" i="11"/>
  <c r="BF10" i="11"/>
  <c r="V11" i="16"/>
  <c r="BH28" i="11"/>
  <c r="BG19" i="11"/>
  <c r="BE10" i="11"/>
  <c r="X17" i="17"/>
  <c r="S9" i="17"/>
  <c r="AP10" i="21"/>
  <c r="BH20" i="16"/>
  <c r="BI11" i="11"/>
  <c r="BL13" i="11"/>
  <c r="Q13" i="11" s="1"/>
  <c r="BH18" i="11"/>
  <c r="R25" i="14"/>
  <c r="V20" i="11"/>
  <c r="BF19" i="11"/>
  <c r="AP26" i="21"/>
  <c r="T16" i="16"/>
  <c r="BT20" i="20"/>
  <c r="BT19" i="16"/>
  <c r="BT18" i="16"/>
  <c r="X20" i="16"/>
  <c r="BT10" i="17"/>
  <c r="BT25" i="20"/>
  <c r="BT22" i="17"/>
  <c r="U13" i="17"/>
  <c r="BT11" i="20"/>
  <c r="X9" i="16"/>
  <c r="BT10" i="16"/>
  <c r="BT18" i="17"/>
  <c r="V12" i="16"/>
  <c r="BT12" i="17"/>
  <c r="AA17" i="16"/>
  <c r="S28" i="17"/>
  <c r="X22" i="17"/>
  <c r="T19" i="11"/>
  <c r="AY20" i="11"/>
  <c r="V16" i="16"/>
  <c r="T22" i="11"/>
  <c r="T25" i="11"/>
  <c r="T16" i="11"/>
  <c r="T17" i="11"/>
  <c r="S16" i="16"/>
  <c r="S23" i="16" s="1"/>
  <c r="S31" i="16" s="1"/>
  <c r="AP14" i="20"/>
  <c r="BH9" i="11"/>
  <c r="BK28" i="11"/>
  <c r="BK10" i="11"/>
  <c r="R11" i="14"/>
  <c r="BH10" i="16"/>
  <c r="BG11" i="11"/>
  <c r="BH23" i="16"/>
  <c r="BG17" i="11"/>
  <c r="AQ12" i="21"/>
  <c r="BH30" i="16"/>
  <c r="BJ22" i="11"/>
  <c r="L28" i="2"/>
  <c r="S16" i="17"/>
  <c r="L25" i="2"/>
  <c r="L9" i="2"/>
  <c r="S19" i="14"/>
  <c r="V19" i="14" s="1"/>
  <c r="V10" i="21"/>
  <c r="AY14" i="11"/>
  <c r="AY31" i="11"/>
  <c r="AH33" i="17"/>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BI23" i="11" l="1"/>
  <c r="D31" i="14"/>
  <c r="E31" i="14"/>
  <c r="X31" i="16"/>
  <c r="X14" i="16"/>
  <c r="AY26" i="11"/>
  <c r="V23" i="20"/>
  <c r="V26" i="20" s="1"/>
  <c r="V31" i="20"/>
  <c r="P25" i="11"/>
  <c r="Q25" i="11"/>
  <c r="S26"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<sst xmlns="http://schemas.openxmlformats.org/spreadsheetml/2006/main" count="2638" uniqueCount="1168">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</sst>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rTsO5EY5WPCEArG5ZRBY7SfTQ07sFJpQoxvBp2/dUZ5B3lBB8mSm+4tFwDxwxTOG0d+KxtQBSy6APUg0wFd0iw==" saltValue="QXl8LTI/dMgvHM+rOasc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ANDALUCIA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21</v>
      </c>
      <c r="D10" s="239">
        <f>IF(ISNUMBER(Datos!I10),Datos!I10," - ")</f>
        <v>18</v>
      </c>
      <c r="E10" s="240">
        <f>IF(ISNUMBER(Datos!J10),Datos!J10," - ")</f>
        <v>30</v>
      </c>
      <c r="F10" s="240">
        <f>IF(ISNUMBER(Datos!K10),Datos!K10," - ")</f>
        <v>43</v>
      </c>
      <c r="G10" s="1392" t="str">
        <f>IF(Datos!E10&lt;&gt;"",Datos!E10,Datos!D10)</f>
        <v>37</v>
      </c>
      <c r="H10" s="241">
        <f>IF(ISNUMBER(Datos!L10),Datos!L10," - ")</f>
        <v>8</v>
      </c>
      <c r="I10" s="1402" t="str">
        <f>IF(ISNUMBER(Datos!AS10/Datos!BM10),Datos!AS10/Datos!BM10," - ")</f>
        <v xml:space="preserve"> - </v>
      </c>
      <c r="J10" s="1403">
        <f>IF(ISNUMBER(Datos!BY10/Datos!CN10),Datos!BY10/Datos!CN10," - ")</f>
        <v>0</v>
      </c>
      <c r="K10" s="244">
        <f t="shared" ref="K10:K13" si="1">IF(ISNUMBER((E10-F10)/C10),(E10-F10)/C10," - ")</f>
        <v>-0.61904761904761907</v>
      </c>
      <c r="L10" s="1404">
        <f>IF(ISNUMBER(NºAsuntos!I10/NºAsuntos!G10),(NºAsuntos!I10/NºAsuntos!G10)*11," - ")</f>
        <v>2.0465116279069768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6.6796303427031196</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21</v>
      </c>
      <c r="D14" s="1409">
        <f>SUBTOTAL(9,D9:D13)</f>
        <v>18</v>
      </c>
      <c r="E14" s="1410">
        <f>SUBTOTAL(9,E9:E13)</f>
        <v>30</v>
      </c>
      <c r="F14" s="1411">
        <f>SUBTOTAL(9,F9:F13)</f>
        <v>43</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958</v>
      </c>
      <c r="D17" s="239">
        <f>IF(ISNUMBER(IF(D_I="SI",Datos!I17,Datos!I17+Datos!AC17)),IF(D_I="SI",Datos!I17,Datos!I17+Datos!AC17)," - ")</f>
        <v>958</v>
      </c>
      <c r="E17" s="240">
        <f>IF(ISNUMBER(IF(D_I="SI",Datos!J17,Datos!J17+Datos!AD17)),IF(D_I="SI",Datos!J17,Datos!J17+Datos!AD17)," - ")</f>
        <v>5056</v>
      </c>
      <c r="F17" s="240">
        <f>IF(ISNUMBER(IF(D_I="SI",Datos!K17,Datos!K17+Datos!AE17)),IF(D_I="SI",Datos!K17,Datos!K17+Datos!AE17)," - ")</f>
        <v>5301</v>
      </c>
      <c r="G17" s="1392" t="str">
        <f>IF(Datos!E17&lt;&gt;"",Datos!E17,Datos!D17)</f>
        <v>04</v>
      </c>
      <c r="H17" s="241">
        <f>IF(ISNUMBER(IF(D_I="SI",Datos!L17,Datos!L17+Datos!AF17)),IF(D_I="SI",Datos!L17,Datos!L17+Datos!AF17)," - ")</f>
        <v>713</v>
      </c>
      <c r="I17" s="1402" t="str">
        <f>IF(ISNUMBER(Datos!AS17/Datos!BM17),Datos!AS17/Datos!BM17," - ")</f>
        <v xml:space="preserve"> - </v>
      </c>
      <c r="J17" s="1403">
        <f>IF(ISNUMBER(Datos!BY17/Datos!CN17),Datos!BY17/Datos!CN17," - ")</f>
        <v>0</v>
      </c>
      <c r="K17" s="244">
        <f t="shared" si="3"/>
        <v>-0.25574112734864302</v>
      </c>
      <c r="L17" s="1404">
        <f>IF(ISNUMBER(NºAsuntos!I17/NºAsuntos!G17),(NºAsuntos!I17/NºAsuntos!G17)*11," - ")</f>
        <v>1.4795321637426899</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74</v>
      </c>
      <c r="D18" s="239">
        <f>IF(ISNUMBER(IF(D_I="SI",Datos!I18,Datos!I18+Datos!AC18)),IF(D_I="SI",Datos!I18,Datos!I18+Datos!AC18)," - ")</f>
        <v>74</v>
      </c>
      <c r="E18" s="240">
        <f>IF(ISNUMBER(IF(D_I="SI",Datos!J18,Datos!J18+Datos!AD18)),IF(D_I="SI",Datos!J18,Datos!J18+Datos!AD18)," - ")</f>
        <v>214</v>
      </c>
      <c r="F18" s="240">
        <f>IF(ISNUMBER(IF(D_I="SI",Datos!K18,Datos!K18+Datos!AE18)),IF(D_I="SI",Datos!K18,Datos!K18+Datos!AE18)," - ")</f>
        <v>214</v>
      </c>
      <c r="G18" s="1392" t="str">
        <f>IF(Datos!E18&lt;&gt;"",Datos!E18,Datos!D18)</f>
        <v>37</v>
      </c>
      <c r="H18" s="241">
        <f>IF(ISNUMBER(IF(D_I="SI",Datos!L18,Datos!L18+Datos!AF18)),IF(D_I="SI",Datos!L18,Datos!L18+Datos!AF18)," - ")</f>
        <v>74</v>
      </c>
      <c r="I18" s="1402" t="str">
        <f>IF(ISNUMBER(Datos!AS18/Datos!BM18),Datos!AS18/Datos!BM18," - ")</f>
        <v xml:space="preserve"> - </v>
      </c>
      <c r="J18" s="1403" t="str">
        <f>IF(ISNUMBER((Datos!BY18+Datos!BZ18)/Datos!CN18),(Datos!BY18+Datos!BZ18)/Datos!CN18," - ")</f>
        <v xml:space="preserve"> - </v>
      </c>
      <c r="K18" s="244">
        <f t="shared" si="3"/>
        <v>0</v>
      </c>
      <c r="L18" s="1404">
        <f>IF(ISNUMBER(NºAsuntos!I18/NºAsuntos!G18),(NºAsuntos!I18/NºAsuntos!G18)*11," - ")</f>
        <v>3.8037383177570092</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1032</v>
      </c>
      <c r="D23" s="1409">
        <f>SUBTOTAL(9,D16:D22)</f>
        <v>1032</v>
      </c>
      <c r="E23" s="1410">
        <f>SUBTOTAL(9,E16:E22)</f>
        <v>5270</v>
      </c>
      <c r="F23" s="1410">
        <f>SUBTOTAL(9,F16:F22)</f>
        <v>5515</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1053</v>
      </c>
      <c r="D31" s="1437">
        <f>SUBTOTAL(9,D9:D30)</f>
        <v>1050</v>
      </c>
      <c r="E31" s="1438">
        <f>SUBTOTAL(9,E9:E30)</f>
        <v>5300</v>
      </c>
      <c r="F31" s="1438">
        <f>SUBTOTAL(9,F9:F30)</f>
        <v>5558</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8MJjg4dJskYuz7jOW68kp+fIrIiGcwX+GFiVz51WjUIBROIJRtpXCeqZl572Nut2VshRR3ipp/UlCBwkcUbHQA==" saltValue="rFq31Iec09Tu23tkDZLAF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9ho6IdFMIqg0hXf9FAeF6XqPbezSEAzpymdjne99pZf7yPb88JiIbuvgLuPUsfhZ2/OKOTmRIvN34t5DkWnalg==" saltValue="kpIdrJ4E7Z3PmM3BTOpf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18</v>
      </c>
      <c r="J10" s="194">
        <v>30</v>
      </c>
      <c r="K10" s="194">
        <v>43</v>
      </c>
      <c r="L10" s="194">
        <v>8</v>
      </c>
      <c r="M10" s="194">
        <v>28</v>
      </c>
      <c r="N10" s="194">
        <v>7</v>
      </c>
      <c r="O10" s="194">
        <v>8</v>
      </c>
      <c r="P10" s="194">
        <v>4</v>
      </c>
      <c r="Q10" s="194">
        <v>4</v>
      </c>
      <c r="R10" s="194">
        <v>4</v>
      </c>
      <c r="S10" s="194">
        <v>13</v>
      </c>
      <c r="T10" s="194">
        <v>19</v>
      </c>
      <c r="U10" s="194">
        <v>14</v>
      </c>
      <c r="V10" s="194">
        <v>18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13</v>
      </c>
      <c r="AZ10" s="139">
        <f t="shared" si="0"/>
        <v>19</v>
      </c>
      <c r="BA10" s="139">
        <f t="shared" si="0"/>
        <v>14</v>
      </c>
      <c r="BB10" s="139">
        <f t="shared" si="0"/>
        <v>18</v>
      </c>
      <c r="BC10" s="135">
        <f t="shared" si="0"/>
        <v>3</v>
      </c>
      <c r="BD10" s="136">
        <f>IF(ISNUMBER(BA10/AZ10),BA10/AZ10," - ")</f>
        <v>0.73684210526315785</v>
      </c>
      <c r="BE10" s="137">
        <f>IF(ISNUMBER(BB10/BA10),BB10/BA10, " - ")</f>
        <v>1.2857142857142858</v>
      </c>
      <c r="BF10" s="137">
        <f>IF(ISNUMBER(BC10/BA10),BC10/BA10, " - ")</f>
        <v>0.21428571428571427</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1684</v>
      </c>
      <c r="J12" s="196">
        <v>2143</v>
      </c>
      <c r="K12" s="196">
        <v>2352</v>
      </c>
      <c r="L12" s="196">
        <v>1514</v>
      </c>
      <c r="M12" s="196">
        <v>533</v>
      </c>
      <c r="N12" s="196">
        <v>881</v>
      </c>
      <c r="O12" s="194">
        <v>1432</v>
      </c>
      <c r="P12" s="196">
        <v>551</v>
      </c>
      <c r="Q12" s="196">
        <v>690</v>
      </c>
      <c r="R12" s="196">
        <v>1842</v>
      </c>
      <c r="S12" s="196">
        <v>1234</v>
      </c>
      <c r="T12" s="196">
        <v>2052</v>
      </c>
      <c r="U12" s="196">
        <v>1792</v>
      </c>
      <c r="V12" s="196">
        <v>1684</v>
      </c>
      <c r="W12" s="196">
        <v>395</v>
      </c>
      <c r="X12" s="202">
        <v>659</v>
      </c>
      <c r="Y12" s="204">
        <v>75</v>
      </c>
      <c r="Z12" s="194">
        <v>233</v>
      </c>
      <c r="AA12" s="194">
        <v>245</v>
      </c>
      <c r="AB12" s="194">
        <v>63</v>
      </c>
      <c r="AC12" s="196">
        <v>0</v>
      </c>
      <c r="AD12" s="196">
        <v>0</v>
      </c>
      <c r="AE12" s="196">
        <v>0</v>
      </c>
      <c r="AF12" s="202">
        <v>0</v>
      </c>
      <c r="AG12" s="215">
        <v>47</v>
      </c>
      <c r="AH12" s="196">
        <v>176</v>
      </c>
      <c r="AI12" s="196">
        <v>148</v>
      </c>
      <c r="AJ12" s="216">
        <v>75</v>
      </c>
      <c r="AK12" s="195">
        <v>0</v>
      </c>
      <c r="AL12" s="196">
        <v>0</v>
      </c>
      <c r="AM12" s="196">
        <v>0</v>
      </c>
      <c r="AN12" s="202">
        <v>0</v>
      </c>
      <c r="AO12" s="283">
        <v>3</v>
      </c>
      <c r="AP12" s="168">
        <v>3</v>
      </c>
      <c r="AQ12" s="168">
        <v>3</v>
      </c>
      <c r="AR12" s="167">
        <v>3</v>
      </c>
      <c r="AS12" s="382" t="s">
        <v>1089</v>
      </c>
      <c r="AT12" s="216"/>
      <c r="AU12" s="215"/>
      <c r="AV12" s="216"/>
      <c r="AW12" s="215"/>
      <c r="AX12" s="216"/>
      <c r="AY12" s="136">
        <f t="shared" si="1"/>
        <v>1281</v>
      </c>
      <c r="AZ12" s="137">
        <f t="shared" si="1"/>
        <v>2228</v>
      </c>
      <c r="BA12" s="137">
        <f t="shared" si="1"/>
        <v>1940</v>
      </c>
      <c r="BB12" s="137">
        <f t="shared" si="1"/>
        <v>1759</v>
      </c>
      <c r="BC12" s="135">
        <f>IF(ISNUMBER(X12),X12," - ")</f>
        <v>659</v>
      </c>
      <c r="BD12" s="136">
        <f t="shared" si="2"/>
        <v>0.87073608617594256</v>
      </c>
      <c r="BE12" s="137">
        <f t="shared" si="3"/>
        <v>0.90670103092783505</v>
      </c>
      <c r="BF12" s="137">
        <f t="shared" si="4"/>
        <v>0.33969072164948455</v>
      </c>
      <c r="BG12" s="209">
        <f t="shared" si="5"/>
        <v>1.8087628865979382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1702</v>
      </c>
      <c r="J14" s="197">
        <f t="shared" si="7"/>
        <v>2173</v>
      </c>
      <c r="K14" s="197">
        <f t="shared" si="7"/>
        <v>2395</v>
      </c>
      <c r="L14" s="197">
        <f t="shared" si="7"/>
        <v>1522</v>
      </c>
      <c r="M14" s="197">
        <f t="shared" si="7"/>
        <v>561</v>
      </c>
      <c r="N14" s="197">
        <f t="shared" si="7"/>
        <v>888</v>
      </c>
      <c r="O14" s="197">
        <f t="shared" si="7"/>
        <v>1440</v>
      </c>
      <c r="P14" s="197">
        <f t="shared" si="7"/>
        <v>555</v>
      </c>
      <c r="Q14" s="197">
        <f t="shared" si="7"/>
        <v>694</v>
      </c>
      <c r="R14" s="197">
        <f t="shared" si="7"/>
        <v>1846</v>
      </c>
      <c r="S14" s="197">
        <f t="shared" si="7"/>
        <v>1247</v>
      </c>
      <c r="T14" s="197">
        <f t="shared" si="7"/>
        <v>2071</v>
      </c>
      <c r="U14" s="197">
        <f t="shared" si="7"/>
        <v>1806</v>
      </c>
      <c r="V14" s="197">
        <f t="shared" si="7"/>
        <v>1702</v>
      </c>
      <c r="W14" s="197">
        <f t="shared" si="7"/>
        <v>398</v>
      </c>
      <c r="X14" s="197">
        <f t="shared" si="7"/>
        <v>659</v>
      </c>
      <c r="Y14" s="197">
        <f t="shared" si="7"/>
        <v>75</v>
      </c>
      <c r="Z14" s="197">
        <f t="shared" si="7"/>
        <v>233</v>
      </c>
      <c r="AA14" s="197">
        <f t="shared" si="7"/>
        <v>245</v>
      </c>
      <c r="AB14" s="197">
        <f t="shared" si="7"/>
        <v>63</v>
      </c>
      <c r="AC14" s="197">
        <f t="shared" si="7"/>
        <v>0</v>
      </c>
      <c r="AD14" s="197">
        <f t="shared" si="7"/>
        <v>0</v>
      </c>
      <c r="AE14" s="197">
        <f t="shared" si="7"/>
        <v>0</v>
      </c>
      <c r="AF14" s="197">
        <f>SUBTOTAL(9,AF9:AF13)</f>
        <v>0</v>
      </c>
      <c r="AG14" s="197">
        <f t="shared" ref="AG14:AT14" si="8">SUBTOTAL(9,AG8:AG13)</f>
        <v>47</v>
      </c>
      <c r="AH14" s="197">
        <f t="shared" si="8"/>
        <v>176</v>
      </c>
      <c r="AI14" s="197">
        <f t="shared" si="8"/>
        <v>148</v>
      </c>
      <c r="AJ14" s="197">
        <f t="shared" si="8"/>
        <v>75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1294</v>
      </c>
      <c r="AZ14" s="197">
        <f>SUBTOTAL(9,AZ8:AZ13)</f>
        <v>2247</v>
      </c>
      <c r="BA14" s="197">
        <f>SUBTOTAL(9,BA8:BA13)</f>
        <v>1954</v>
      </c>
      <c r="BB14" s="197">
        <f>SUBTOTAL(9,BB8:BB13)</f>
        <v>1777</v>
      </c>
      <c r="BC14" s="197">
        <f>SUBTOTAL(9,BC8:BC13)</f>
        <v>662</v>
      </c>
      <c r="BD14" s="219">
        <f>IF(ISNUMBER(BA14/AZ14),BA14/AZ14," - ")</f>
        <v>0.86960391633288825</v>
      </c>
      <c r="BE14" s="220">
        <f>IF(ISNUMBER(BB14/BA14),BB14/BA14, " - ")</f>
        <v>0.90941658137154557</v>
      </c>
      <c r="BF14" s="220">
        <f>IF(ISNUMBER(BC14/BA14),BC14/BA14, " - ")</f>
        <v>0.33879222108495394</v>
      </c>
      <c r="BG14" s="221">
        <f>IF(ISNUMBER((AY14+AZ14)/BA14),(AY14+AZ14)/BA14," - ")</f>
        <v>1.8121801432958036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958</v>
      </c>
      <c r="J17" s="196">
        <v>5056</v>
      </c>
      <c r="K17" s="196">
        <v>5301</v>
      </c>
      <c r="L17" s="196">
        <v>713</v>
      </c>
      <c r="M17" s="196">
        <v>496</v>
      </c>
      <c r="N17" s="196">
        <v>3779</v>
      </c>
      <c r="O17" s="194">
        <v>6</v>
      </c>
      <c r="P17" s="196">
        <v>199</v>
      </c>
      <c r="Q17" s="196">
        <v>112</v>
      </c>
      <c r="R17" s="196">
        <v>242</v>
      </c>
      <c r="S17" s="196">
        <v>1099</v>
      </c>
      <c r="T17" s="196">
        <v>4325</v>
      </c>
      <c r="U17" s="196">
        <v>4295</v>
      </c>
      <c r="V17" s="196">
        <v>958</v>
      </c>
      <c r="W17" s="196">
        <v>297</v>
      </c>
      <c r="X17" s="202">
        <v>3250</v>
      </c>
      <c r="Y17" s="215">
        <v>0</v>
      </c>
      <c r="Z17" s="196">
        <v>0</v>
      </c>
      <c r="AA17" s="196">
        <v>0</v>
      </c>
      <c r="AB17" s="196">
        <v>0</v>
      </c>
      <c r="AC17" s="196">
        <v>0</v>
      </c>
      <c r="AD17" s="196">
        <v>19</v>
      </c>
      <c r="AE17" s="196">
        <v>18</v>
      </c>
      <c r="AF17" s="202">
        <v>1</v>
      </c>
      <c r="AG17" s="215">
        <v>0</v>
      </c>
      <c r="AH17" s="196">
        <v>0</v>
      </c>
      <c r="AI17" s="196">
        <v>0</v>
      </c>
      <c r="AJ17" s="216">
        <v>0</v>
      </c>
      <c r="AK17" s="195">
        <v>0</v>
      </c>
      <c r="AL17" s="196">
        <v>16</v>
      </c>
      <c r="AM17" s="196">
        <v>16</v>
      </c>
      <c r="AN17" s="202">
        <v>0</v>
      </c>
      <c r="AO17" s="283">
        <v>3</v>
      </c>
      <c r="AP17" s="168">
        <v>3</v>
      </c>
      <c r="AQ17" s="168">
        <v>3</v>
      </c>
      <c r="AR17" s="168">
        <v>3</v>
      </c>
      <c r="AS17" s="382" t="s">
        <v>653</v>
      </c>
      <c r="AT17" s="216"/>
      <c r="AU17" s="215"/>
      <c r="AV17" s="216"/>
      <c r="AW17" s="215"/>
      <c r="AX17" s="216"/>
      <c r="AY17" s="136">
        <f t="shared" si="10"/>
        <v>1099</v>
      </c>
      <c r="AZ17" s="137">
        <f t="shared" si="10"/>
        <v>4325</v>
      </c>
      <c r="BA17" s="137">
        <f t="shared" si="10"/>
        <v>4295</v>
      </c>
      <c r="BB17" s="137">
        <f t="shared" si="10"/>
        <v>958</v>
      </c>
      <c r="BC17" s="135">
        <f>IF(ISNUMBER(W17),W17," - ")</f>
        <v>297</v>
      </c>
      <c r="BD17" s="136">
        <f t="shared" ref="BD17:BD22" si="12">IF(ISNUMBER(BA17/AZ17),BA17/AZ17," - ")</f>
        <v>0.99306358381502891</v>
      </c>
      <c r="BE17" s="137">
        <f t="shared" ref="BE17:BE22" si="13">IF(ISNUMBER(BB17/BA17),BB17/BA17, " - ")</f>
        <v>0.22305005820721768</v>
      </c>
      <c r="BF17" s="137">
        <f t="shared" ref="BF17:BF22" si="14">IF(ISNUMBER(BC17/BA17),BC17/BA17, " - ")</f>
        <v>6.9150174621653085E-2</v>
      </c>
      <c r="BG17" s="209">
        <f t="shared" si="11"/>
        <v>1.2628637951105937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74</v>
      </c>
      <c r="J18" s="196">
        <v>214</v>
      </c>
      <c r="K18" s="196">
        <v>214</v>
      </c>
      <c r="L18" s="196">
        <v>74</v>
      </c>
      <c r="M18" s="196">
        <v>24</v>
      </c>
      <c r="N18" s="196">
        <v>147</v>
      </c>
      <c r="O18" s="196">
        <v>0</v>
      </c>
      <c r="P18" s="196">
        <v>0</v>
      </c>
      <c r="Q18" s="196">
        <v>2</v>
      </c>
      <c r="R18" s="196">
        <v>0</v>
      </c>
      <c r="S18" s="196">
        <v>56</v>
      </c>
      <c r="T18" s="196">
        <v>215</v>
      </c>
      <c r="U18" s="196">
        <v>203</v>
      </c>
      <c r="V18" s="196">
        <v>74</v>
      </c>
      <c r="W18" s="196">
        <v>14</v>
      </c>
      <c r="X18" s="202">
        <v>177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56</v>
      </c>
      <c r="AZ18" s="139">
        <f t="shared" si="15"/>
        <v>215</v>
      </c>
      <c r="BA18" s="139">
        <f t="shared" si="15"/>
        <v>203</v>
      </c>
      <c r="BB18" s="139">
        <f t="shared" si="15"/>
        <v>74</v>
      </c>
      <c r="BC18" s="135">
        <f>IF(ISNUMBER(W18),W18," - ")</f>
        <v>14</v>
      </c>
      <c r="BD18" s="136">
        <f>IF(ISNUMBER(BA18/AZ18),BA18/AZ18," - ")</f>
        <v>0.94418604651162785</v>
      </c>
      <c r="BE18" s="137">
        <f>IF(ISNUMBER(BB18/BA18),BB18/BA18, " - ")</f>
        <v>0.3645320197044335</v>
      </c>
      <c r="BF18" s="137">
        <f>IF(ISNUMBER(BC18/BA18),BC18/BA18, " - ")</f>
        <v>6.8965517241379309E-2</v>
      </c>
      <c r="BG18" s="209">
        <f>IF(ISNUMBER((AY18+AZ18)/BA18),(AY18+AZ18)/BA18," - ")</f>
        <v>1.3349753694581281</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1032</v>
      </c>
      <c r="J23" s="197">
        <f t="shared" si="21"/>
        <v>5270</v>
      </c>
      <c r="K23" s="197">
        <f t="shared" si="21"/>
        <v>5515</v>
      </c>
      <c r="L23" s="197">
        <f t="shared" si="21"/>
        <v>787</v>
      </c>
      <c r="M23" s="197">
        <f t="shared" si="21"/>
        <v>520</v>
      </c>
      <c r="N23" s="197">
        <f t="shared" si="21"/>
        <v>3926</v>
      </c>
      <c r="O23" s="197">
        <f t="shared" si="21"/>
        <v>6</v>
      </c>
      <c r="P23" s="197">
        <f t="shared" si="21"/>
        <v>199</v>
      </c>
      <c r="Q23" s="197">
        <f t="shared" si="21"/>
        <v>114</v>
      </c>
      <c r="R23" s="197">
        <f t="shared" si="21"/>
        <v>242</v>
      </c>
      <c r="S23" s="197">
        <f t="shared" si="21"/>
        <v>1155</v>
      </c>
      <c r="T23" s="197">
        <f t="shared" si="21"/>
        <v>4540</v>
      </c>
      <c r="U23" s="197">
        <f t="shared" si="21"/>
        <v>4498</v>
      </c>
      <c r="V23" s="197">
        <f t="shared" si="21"/>
        <v>1032</v>
      </c>
      <c r="W23" s="197">
        <f t="shared" si="21"/>
        <v>311</v>
      </c>
      <c r="X23" s="197">
        <f t="shared" si="21"/>
        <v>3427</v>
      </c>
      <c r="Y23" s="197">
        <f t="shared" si="21"/>
        <v>0</v>
      </c>
      <c r="Z23" s="197">
        <f t="shared" si="21"/>
        <v>0</v>
      </c>
      <c r="AA23" s="197">
        <f t="shared" si="21"/>
        <v>0</v>
      </c>
      <c r="AB23" s="197">
        <f t="shared" si="21"/>
        <v>0</v>
      </c>
      <c r="AC23" s="197">
        <f t="shared" si="21"/>
        <v>0</v>
      </c>
      <c r="AD23" s="197">
        <f t="shared" si="21"/>
        <v>19</v>
      </c>
      <c r="AE23" s="197">
        <f t="shared" si="21"/>
        <v>18</v>
      </c>
      <c r="AF23" s="197">
        <f t="shared" si="21"/>
        <v>1</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1155</v>
      </c>
      <c r="AZ23" s="197">
        <f>SUBTOTAL(9,AZ15:AZ22)</f>
        <v>4540</v>
      </c>
      <c r="BA23" s="197">
        <f>SUBTOTAL(9,BA15:BA22)</f>
        <v>4498</v>
      </c>
      <c r="BB23" s="197">
        <f>SUBTOTAL(9,BB15:BB22)</f>
        <v>1032</v>
      </c>
      <c r="BC23" s="197">
        <f>SUBTOTAL(9,BC15:BC22)</f>
        <v>311</v>
      </c>
      <c r="BD23" s="219">
        <f>IF(ISNUMBER(BA23/AZ23),BA23/AZ23," - ")</f>
        <v>0.99074889867841409</v>
      </c>
      <c r="BE23" s="220">
        <f>IF(ISNUMBER(BB23/BA23),BB23/BA23, " - ")</f>
        <v>0.22943530457981326</v>
      </c>
      <c r="BF23" s="220">
        <f>IF(ISNUMBER(BC23/BA23),BC23/BA23, " - ")</f>
        <v>6.9141840818141398E-2</v>
      </c>
      <c r="BG23" s="221">
        <f>IF(ISNUMBER((AY23+AZ23)/BA23),(AY23+AZ23)/BA23," - ")</f>
        <v>1.2661182747887951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2734</v>
      </c>
      <c r="J31" s="144">
        <f t="shared" si="36"/>
        <v>7443</v>
      </c>
      <c r="K31" s="144">
        <f t="shared" si="36"/>
        <v>7910</v>
      </c>
      <c r="L31" s="144">
        <f t="shared" si="36"/>
        <v>2309</v>
      </c>
      <c r="M31" s="144">
        <f t="shared" si="36"/>
        <v>1081</v>
      </c>
      <c r="N31" s="144">
        <f t="shared" si="36"/>
        <v>4814</v>
      </c>
      <c r="O31" s="144">
        <f t="shared" si="36"/>
        <v>1446</v>
      </c>
      <c r="P31" s="144">
        <f t="shared" si="36"/>
        <v>754</v>
      </c>
      <c r="Q31" s="144">
        <f t="shared" si="36"/>
        <v>808</v>
      </c>
      <c r="R31" s="144">
        <f t="shared" si="36"/>
        <v>2088</v>
      </c>
      <c r="S31" s="144">
        <f t="shared" si="36"/>
        <v>2402</v>
      </c>
      <c r="T31" s="144">
        <f t="shared" si="36"/>
        <v>6611</v>
      </c>
      <c r="U31" s="144">
        <f t="shared" si="36"/>
        <v>6304</v>
      </c>
      <c r="V31" s="144">
        <f t="shared" si="36"/>
        <v>2734</v>
      </c>
      <c r="W31" s="144">
        <f t="shared" si="36"/>
        <v>709</v>
      </c>
      <c r="X31" s="144">
        <f t="shared" si="36"/>
        <v>4086</v>
      </c>
      <c r="Y31" s="144">
        <f t="shared" si="36"/>
        <v>75</v>
      </c>
      <c r="Z31" s="144">
        <f t="shared" si="36"/>
        <v>233</v>
      </c>
      <c r="AA31" s="144">
        <f t="shared" si="36"/>
        <v>245</v>
      </c>
      <c r="AB31" s="144">
        <f t="shared" si="36"/>
        <v>63</v>
      </c>
      <c r="AC31" s="144">
        <f t="shared" si="36"/>
        <v>0</v>
      </c>
      <c r="AD31" s="144">
        <f t="shared" si="36"/>
        <v>19</v>
      </c>
      <c r="AE31" s="144">
        <f t="shared" si="36"/>
        <v>18</v>
      </c>
      <c r="AF31" s="144">
        <f t="shared" si="36"/>
        <v>1</v>
      </c>
      <c r="AG31" s="144">
        <f t="shared" si="36"/>
        <v>47</v>
      </c>
      <c r="AH31" s="144">
        <f t="shared" si="36"/>
        <v>176</v>
      </c>
      <c r="AI31" s="144">
        <f t="shared" si="36"/>
        <v>148</v>
      </c>
      <c r="AJ31" s="144">
        <f t="shared" si="36"/>
        <v>75</v>
      </c>
      <c r="AK31" s="144">
        <f t="shared" si="36"/>
        <v>0</v>
      </c>
      <c r="AL31" s="144">
        <f t="shared" si="36"/>
        <v>16</v>
      </c>
      <c r="AM31" s="144">
        <f t="shared" si="36"/>
        <v>16</v>
      </c>
      <c r="AN31" s="224">
        <f t="shared" si="36"/>
        <v>0</v>
      </c>
      <c r="AO31" s="225">
        <v>4</v>
      </c>
      <c r="AP31" s="225">
        <v>3</v>
      </c>
      <c r="AQ31" s="225">
        <v>3</v>
      </c>
      <c r="AR31" s="225">
        <v>3</v>
      </c>
      <c r="AS31" s="166">
        <f t="shared" si="36"/>
        <v>0</v>
      </c>
      <c r="AT31" s="166">
        <f t="shared" si="36"/>
        <v>0</v>
      </c>
      <c r="AU31" s="225"/>
      <c r="AV31" s="226"/>
      <c r="AW31" s="225"/>
      <c r="AX31" s="226"/>
      <c r="AY31" s="143">
        <f>SUBTOTAL(9,AY9:AY30)</f>
        <v>2449</v>
      </c>
      <c r="AZ31" s="144">
        <f>SUBTOTAL(9,AZ9:AZ30)</f>
        <v>6787</v>
      </c>
      <c r="BA31" s="144">
        <f>SUBTOTAL(9,BA9:BA30)</f>
        <v>6452</v>
      </c>
      <c r="BB31" s="144">
        <f>SUBTOTAL(9,BB9:BB30)</f>
        <v>2809</v>
      </c>
      <c r="BC31" s="145">
        <f>SUBTOTAL(9,BC9:BC30)</f>
        <v>973</v>
      </c>
      <c r="BD31" s="227">
        <f>IF(ISNUMBER(BA31/AZ31),BA31/AZ31," - ")</f>
        <v>0.95064093119198467</v>
      </c>
      <c r="BE31" s="224">
        <f>IF(ISNUMBER(BB31/BA31),BB31/BA31, " - ")</f>
        <v>0.43536887786732797</v>
      </c>
      <c r="BF31" s="224">
        <f>IF(ISNUMBER(BC31/BA31),BC31/BA31, " - ")</f>
        <v>0.15080595164290142</v>
      </c>
      <c r="BG31" s="145">
        <f>IF(ISNUMBER((AY31+AZ31)/BA31),(AY31+AZ31)/BA31," - ")</f>
        <v>1.4314941103533787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hwpyh4L47HHXqSYvdAOZIQUlkwrxWJDlm0lRPDqQ6YDuUuA+B868UwJ/JWl6RtMSLURKW9i1kXVdZD0ur1Og==" saltValue="nW8+OCf0xbhmKG8tPro8Q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hXmaOtiwAGqXO94OSBZu11N98b2nBNRI7xrG2QDTRpssfun0NsHWBTaPqYCjdL1qE/LnUgCkp8c/GJLkW2Q==" saltValue="jXluZGZX+hUJS3yPkpVBa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ANDALUCIA</v>
      </c>
      <c r="F1" s="582"/>
    </row>
    <row r="2" spans="1:72" ht="16.5" customHeight="1">
      <c r="C2" s="571" t="str">
        <f>Criterios!A10 &amp;"  "&amp;Criterios!B10 &amp; "  " &amp; IF(NOT(ISBLANK(Criterios!A11)),Criterios!A11 &amp;"  "&amp;Criterios!B11,"")</f>
        <v>Provincias  MALAGA  Resumenes por Partidos Judiciales  ANTEQUERA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21</v>
      </c>
      <c r="G10" s="547">
        <f>IF(ISNUMBER(Datos!I10),Datos!I10," - ")</f>
        <v>18</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43</v>
      </c>
      <c r="AC10" s="551">
        <f>IF(ISNUMBER(Datos!Q10),Datos!Q10," - ")</f>
        <v>4</v>
      </c>
      <c r="AD10" s="553"/>
      <c r="AE10" s="567"/>
      <c r="AF10" s="555">
        <f>IF(ISNUMBER(Datos!L10),Datos!L10,"-")</f>
        <v>8</v>
      </c>
      <c r="AG10" s="553"/>
      <c r="AH10" s="553"/>
      <c r="AI10" s="553"/>
      <c r="AJ10" s="553"/>
      <c r="AK10" s="553"/>
      <c r="AL10" s="554"/>
      <c r="AM10" s="771">
        <f>IF(ISNUMBER(Datos!R10),Datos!R10," - ")</f>
        <v>4</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28</v>
      </c>
      <c r="BD10" s="697">
        <f>IF(ISNUMBER(Datos!N10),Datos!N10," - ")</f>
        <v>7</v>
      </c>
      <c r="BE10" s="697" t="str">
        <f>IF(ISNUMBER(Datos!BW10),Datos!BW10," - ")</f>
        <v xml:space="preserve"> - </v>
      </c>
      <c r="BF10" s="767" t="str">
        <f>IF(ISNUMBER(Datos!BX10),Datos!BX10," - ")</f>
        <v xml:space="preserve"> - </v>
      </c>
      <c r="BG10" s="768">
        <f>IF(ISNUMBER(Datos!K10/Datos!J10),Datos!K10/Datos!J10," - ")</f>
        <v>1.4333333333333333</v>
      </c>
      <c r="BH10" s="769">
        <f>IF(ISNUMBER(((Datos!L10/Datos!K10)*11)/factor_trimestre),((Datos!L10/Datos!K10)*11)/factor_trimestre," - ")</f>
        <v>2.0465116279069768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3</v>
      </c>
      <c r="B12" s="750" t="s">
        <v>324</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233</v>
      </c>
      <c r="O12" s="553"/>
      <c r="P12" s="553"/>
      <c r="Q12" s="551">
        <f>IF(ISNUMBER(Datos!P12),Datos!P12,0)</f>
        <v>551</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690</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63</v>
      </c>
      <c r="AI12" s="553" t="str">
        <f>IF(ISNUMBER(Datos!CD12),Datos!CD12,"-")</f>
        <v>-</v>
      </c>
      <c r="AJ12" s="553" t="str">
        <f>IF(ISNUMBER(Datos!EN12),Datos!EN12," - ")</f>
        <v xml:space="preserve"> - </v>
      </c>
      <c r="AK12" s="553"/>
      <c r="AL12" s="554"/>
      <c r="AM12" s="771">
        <f>IF(ISNUMBER(Datos!R12),Datos!R12," - ")</f>
        <v>1842</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533</v>
      </c>
      <c r="BD12" s="697">
        <f>IF(ISNUMBER(Datos!N12),Datos!N12," - ")</f>
        <v>881</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1.093013468013468</v>
      </c>
      <c r="BH12" s="769">
        <f>IF(ISNUMBER(((IF(J_V="SI",Datos!L12/Datos!K12,(Datos!L12+Datos!AB12)/(Datos!K12+Datos!AA12)))*11)/factor_trimestre),((IF(J_V="SI",Datos!L12/Datos!K12,(Datos!L12+Datos!AB12)/(Datos!K12+Datos!AA12)))*11)/factor_trimestre," - ")</f>
        <v>6.6796303427031196</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-7.0166582534073707E-2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3</v>
      </c>
      <c r="F14" s="1200">
        <f t="shared" si="1"/>
        <v>21</v>
      </c>
      <c r="G14" s="1200">
        <f t="shared" si="1"/>
        <v>18</v>
      </c>
      <c r="H14" s="1201">
        <f t="shared" si="1"/>
        <v>0</v>
      </c>
      <c r="I14" s="1200">
        <f t="shared" si="1"/>
        <v>0</v>
      </c>
      <c r="J14" s="1167">
        <f t="shared" si="1"/>
        <v>0</v>
      </c>
      <c r="K14" s="1167">
        <f t="shared" si="1"/>
        <v>0</v>
      </c>
      <c r="L14" s="1201">
        <f t="shared" si="1"/>
        <v>0</v>
      </c>
      <c r="M14" s="1201">
        <f t="shared" si="1"/>
        <v>0</v>
      </c>
      <c r="N14" s="1201">
        <f t="shared" si="1"/>
        <v>233</v>
      </c>
      <c r="O14" s="1202">
        <f t="shared" si="1"/>
        <v>0</v>
      </c>
      <c r="P14" s="1202">
        <f t="shared" si="1"/>
        <v>0</v>
      </c>
      <c r="Q14" s="1201">
        <f t="shared" si="1"/>
        <v>555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43</v>
      </c>
      <c r="AC14" s="1201">
        <f t="shared" si="2"/>
        <v>694</v>
      </c>
      <c r="AD14" s="1201">
        <f t="shared" si="2"/>
        <v>0</v>
      </c>
      <c r="AE14" s="1201">
        <f t="shared" si="2"/>
        <v>0</v>
      </c>
      <c r="AF14" s="1201">
        <f t="shared" si="2"/>
        <v>8</v>
      </c>
      <c r="AG14" s="1201">
        <f t="shared" si="2"/>
        <v>0</v>
      </c>
      <c r="AH14" s="1201">
        <f t="shared" si="2"/>
        <v>63</v>
      </c>
      <c r="AI14" s="1201">
        <f t="shared" si="2"/>
        <v>0</v>
      </c>
      <c r="AJ14" s="1201">
        <f t="shared" si="2"/>
        <v>0</v>
      </c>
      <c r="AK14" s="1201">
        <f t="shared" si="2"/>
        <v>0</v>
      </c>
      <c r="AL14" s="1201">
        <f t="shared" si="2"/>
        <v>0</v>
      </c>
      <c r="AM14" s="1201">
        <f t="shared" si="2"/>
        <v>1846</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561</v>
      </c>
      <c r="BD14" s="1201">
        <f t="shared" si="2"/>
        <v>888</v>
      </c>
      <c r="BE14" s="1201">
        <f t="shared" si="2"/>
        <v>0</v>
      </c>
      <c r="BF14" s="1201">
        <f t="shared" si="2"/>
        <v>0</v>
      </c>
      <c r="BG14" s="1201">
        <f>IF(ISNUMBER(Datos!K14/Datos!J14),Datos!K14/Datos!J14," - ")</f>
        <v>1.102162908421537</v>
      </c>
      <c r="BH14" s="1205">
        <f>IF(ISNUMBER(((Datos!L14/Datos!K14)*11)/factor_trimestre),((Datos!L14/Datos!K14)*11)/factor_trimestre," - ")</f>
        <v>6.9903966597077245</v>
      </c>
      <c r="BI14" s="1201">
        <f>IF(ISNUMBER('Resol  Asuntos'!D14/NºAsuntos!G14),'Resol  Asuntos'!D14/NºAsuntos!G14," - ")</f>
        <v>0.21249999999999999</v>
      </c>
      <c r="BJ14" s="1201" t="str">
        <f>IF(ISNUMBER(Datos!CI14/Datos!CJ14),Datos!CI14/Datos!CJ14," - ")</f>
        <v xml:space="preserve"> - </v>
      </c>
      <c r="BK14" s="1201">
        <f>SUBTOTAL(9,BK8:BK13)</f>
        <v>0</v>
      </c>
      <c r="BL14" s="1201">
        <f>IF(ISNUMBER((I14-AB14+L14)/(F14)),(I14-AB14+L14)/(F14)," - ")</f>
        <v>-2.0476190476190474</v>
      </c>
      <c r="BM14" s="1206">
        <f>SUBTOTAL(9,BM9:BM13)</f>
        <v>-7.0166582534073707E-2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3</v>
      </c>
      <c r="B17" s="741" t="s">
        <v>515</v>
      </c>
      <c r="C17" s="754" t="str">
        <f>Datos!A17</f>
        <v xml:space="preserve">Jdos. 1ª Instª. e Instr.                        </v>
      </c>
      <c r="D17" s="755"/>
      <c r="E17" s="746">
        <f>IF(ISNUMBER(Datos!AQ17),Datos!AQ17," - ")</f>
        <v>3</v>
      </c>
      <c r="F17" s="744">
        <f>IF(ISNUMBER(AF17+AB17-Datos!J17-L17),AF17+AB17-Datos!J17-L17," - ")</f>
        <v>958</v>
      </c>
      <c r="G17" s="747">
        <f>IF(ISNUMBER(IF(D_I="SI",Datos!I17,Datos!I17+Datos!AC17)),IF(D_I="SI",Datos!I17,Datos!I17+Datos!AC17)," - ")</f>
        <v>958</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199</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5301</v>
      </c>
      <c r="AC17" s="240">
        <f>IF(ISNUMBER(Datos!Q17),Datos!Q17," - ")</f>
        <v>112</v>
      </c>
      <c r="AD17" s="374"/>
      <c r="AE17" s="566"/>
      <c r="AF17" s="745">
        <f>IF(ISNUMBER(IF(D_I="SI",Datos!L17,Datos!L17+Datos!AF17)),IF(D_I="SI",Datos!L17,Datos!L17+Datos!AF17)," - ")</f>
        <v>713</v>
      </c>
      <c r="AG17" s="374"/>
      <c r="AH17" s="374"/>
      <c r="AI17" s="374"/>
      <c r="AJ17" s="553"/>
      <c r="AK17" s="374"/>
      <c r="AL17" s="549"/>
      <c r="AM17" s="375">
        <f>IF(ISNUMBER(Datos!R17),Datos!R17," - ")</f>
        <v>242</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496</v>
      </c>
      <c r="BD17" s="243">
        <f>IF(ISNUMBER(Datos!N17),Datos!N17," - ")</f>
        <v>3779</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1.0484572784810127</v>
      </c>
      <c r="BH17" s="769">
        <f>IF(ISNUMBER(((IF(D_I="SI",Datos!L17/Datos!K17,(Datos!L17+Datos!AF17)/(Datos!K17+Datos!AE17)))*11)/factor_trimestre),((IF(D_I="SI",Datos!L17/Datos!K17,(Datos!L17+Datos!AF17)/(Datos!K17+Datos!AE17)))*11)/factor_trimestre," - ")</f>
        <v>1.4795321637426899</v>
      </c>
      <c r="BI17" s="266">
        <f>IF(ISNUMBER('Resol  Asuntos'!D17/NºAsuntos!G17),'Resol  Asuntos'!D17/NºAsuntos!G17," - ")</f>
        <v>9.3567251461988299E-2</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74</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214</v>
      </c>
      <c r="AC18" s="551">
        <f>IF(ISNUMBER(Datos!Q18),Datos!Q18," - ")</f>
        <v>2</v>
      </c>
      <c r="AD18" s="553"/>
      <c r="AE18" s="566"/>
      <c r="AF18" s="555">
        <f>IF(ISNUMBER(Datos!L18),Datos!L18,"-")</f>
        <v>74</v>
      </c>
      <c r="AG18" s="553"/>
      <c r="AH18" s="553"/>
      <c r="AI18" s="553"/>
      <c r="AJ18" s="553"/>
      <c r="AK18" s="553"/>
      <c r="AL18" s="554"/>
      <c r="AM18" s="771">
        <f>IF(ISNUMBER(Datos!R18),Datos!R18," - ")</f>
        <v>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24</v>
      </c>
      <c r="BD18" s="697">
        <f>IF(ISNUMBER(Datos!N18),Datos!N18," - ")</f>
        <v>147</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v>
      </c>
      <c r="BH18" s="769">
        <f>IF(ISNUMBER(((IF(D_I="SI",Datos!L18/Datos!K18,(Datos!L18+Datos!AF18)/(Datos!K18+Datos!AE18)))*11)/factor_trimestre),((IF(D_I="SI",Datos!L18/Datos!K18,(Datos!L18+Datos!AF18)/(Datos!K18+Datos!AE18)))*11)/factor_trimestre," - ")</f>
        <v>3.8037383177570092</v>
      </c>
      <c r="BI18" s="768">
        <f>IF(ISNUMBER('Resol  Asuntos'!D18/NºAsuntos!G18),'Resol  Asuntos'!D18/NºAsuntos!G18," - ")</f>
        <v>0.11214953271028037</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3</v>
      </c>
      <c r="F23" s="1200">
        <f>SUBTOTAL(9,F16:F22)</f>
        <v>958</v>
      </c>
      <c r="G23" s="1200">
        <f>SUBTOTAL(9,G16:G22)</f>
        <v>1032</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199</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5515</v>
      </c>
      <c r="AC23" s="1201">
        <f t="shared" si="5"/>
        <v>114</v>
      </c>
      <c r="AD23" s="1201">
        <f t="shared" si="5"/>
        <v>0</v>
      </c>
      <c r="AE23" s="1201">
        <f t="shared" si="5"/>
        <v>0</v>
      </c>
      <c r="AF23" s="1201">
        <f t="shared" si="5"/>
        <v>787</v>
      </c>
      <c r="AG23" s="1201">
        <f t="shared" si="5"/>
        <v>0</v>
      </c>
      <c r="AH23" s="1201">
        <f t="shared" si="5"/>
        <v>0</v>
      </c>
      <c r="AI23" s="1201">
        <f t="shared" si="5"/>
        <v>0</v>
      </c>
      <c r="AJ23" s="1201">
        <f t="shared" si="5"/>
        <v>0</v>
      </c>
      <c r="AK23" s="1201">
        <f t="shared" si="5"/>
        <v>0</v>
      </c>
      <c r="AL23" s="1201">
        <f t="shared" si="5"/>
        <v>0</v>
      </c>
      <c r="AM23" s="1201">
        <f t="shared" si="5"/>
        <v>242</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520</v>
      </c>
      <c r="BD23" s="1201">
        <f t="shared" si="5"/>
        <v>3926</v>
      </c>
      <c r="BE23" s="1201">
        <f t="shared" si="5"/>
        <v>0</v>
      </c>
      <c r="BF23" s="1201">
        <f t="shared" si="5"/>
        <v>0</v>
      </c>
      <c r="BG23" s="1201">
        <f>IF(ISNUMBER(Datos!K23/Datos!J23),Datos!K23/Datos!J23," - ")</f>
        <v>1.0464895635673623</v>
      </c>
      <c r="BH23" s="1205">
        <f>IF(ISNUMBER(((Datos!L23/Datos!K23)*11)/factor_trimestre),((Datos!L23/Datos!K23)*11)/factor_trimestre," - ")</f>
        <v>1.5697189483227563</v>
      </c>
      <c r="BI23" s="1201">
        <f>SUBTOTAL(9,BI16:BI22)</f>
        <v>0.20571678417226869</v>
      </c>
      <c r="BJ23" s="1201">
        <f>SUBTOTAL(9,BJ16:BJ22)</f>
        <v>0</v>
      </c>
      <c r="BK23" s="1201">
        <f>SUBTOTAL(9,BK16:BK22)</f>
        <v>0</v>
      </c>
      <c r="BL23" s="1201">
        <f>IF(ISNUMBER((I23-AB23+L23)/(F23)),(I23-AB23+L23)/(F23)," - ")</f>
        <v>-5.7567849686847596</v>
      </c>
      <c r="BM23" s="1208">
        <f>IF(ISNUMBER((Datos!P23-Datos!Q23)/(Datos!R23-Datos!P23+Datos!Q23)),(Datos!P23-Datos!Q23)/(Datos!R23-Datos!P23+Datos!Q23)," - ")</f>
        <v>0.54140127388535031</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6</v>
      </c>
      <c r="F31" s="1120">
        <f t="shared" si="16"/>
        <v>979</v>
      </c>
      <c r="G31" s="1120">
        <f t="shared" si="16"/>
        <v>1050</v>
      </c>
      <c r="H31" s="1122">
        <f t="shared" si="16"/>
        <v>0</v>
      </c>
      <c r="I31" s="1120">
        <f t="shared" si="16"/>
        <v>0</v>
      </c>
      <c r="J31" s="1122">
        <f t="shared" si="16"/>
        <v>0</v>
      </c>
      <c r="K31" s="1122">
        <f t="shared" si="16"/>
        <v>0</v>
      </c>
      <c r="L31" s="1183">
        <f t="shared" si="16"/>
        <v>0</v>
      </c>
      <c r="M31" s="1183">
        <f t="shared" si="16"/>
        <v>0</v>
      </c>
      <c r="N31" s="1183">
        <f t="shared" si="16"/>
        <v>233</v>
      </c>
      <c r="O31" s="1183">
        <f t="shared" si="16"/>
        <v>0</v>
      </c>
      <c r="P31" s="1183">
        <f t="shared" si="16"/>
        <v>0</v>
      </c>
      <c r="Q31" s="1122">
        <f t="shared" si="16"/>
        <v>754</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5558</v>
      </c>
      <c r="AC31" s="1121">
        <f t="shared" si="17"/>
        <v>808</v>
      </c>
      <c r="AD31" s="1121">
        <f t="shared" si="17"/>
        <v>0</v>
      </c>
      <c r="AE31" s="1121">
        <f t="shared" si="17"/>
        <v>0</v>
      </c>
      <c r="AF31" s="1128">
        <f t="shared" si="17"/>
        <v>795</v>
      </c>
      <c r="AG31" s="1128">
        <f t="shared" si="17"/>
        <v>0</v>
      </c>
      <c r="AH31" s="1128">
        <f t="shared" si="17"/>
        <v>63</v>
      </c>
      <c r="AI31" s="1128">
        <f t="shared" si="17"/>
        <v>0</v>
      </c>
      <c r="AJ31" s="1121">
        <f t="shared" si="17"/>
        <v>0</v>
      </c>
      <c r="AK31" s="1128">
        <f t="shared" si="17"/>
        <v>0</v>
      </c>
      <c r="AL31" s="1128">
        <f t="shared" si="17"/>
        <v>0</v>
      </c>
      <c r="AM31" s="1128">
        <f t="shared" si="17"/>
        <v>2088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1081</v>
      </c>
      <c r="BD31" s="1120">
        <f t="shared" si="17"/>
        <v>4814</v>
      </c>
      <c r="BE31" s="1120">
        <f t="shared" si="17"/>
        <v>0</v>
      </c>
      <c r="BF31" s="1130">
        <f t="shared" si="17"/>
        <v>0</v>
      </c>
      <c r="BG31" s="1227">
        <f>IF(ISNUMBER(Datos!K31/Datos!J31),Datos!K31/Datos!J31," - ")</f>
        <v>1.0627435173988984</v>
      </c>
      <c r="BH31" s="1227">
        <f>IF(ISNUMBER(((Datos!L31/Datos!K31)*11)/factor_trimestre),((Datos!L31/Datos!K31)*11)/factor_trimestre," - ")</f>
        <v>3.2109987357774967</v>
      </c>
      <c r="BI31" s="1106">
        <f>IF(ISNUMBER(Datos!J31/Datos!I31),Datos!J31/Datos!I31," - ")</f>
        <v>2.7223847841989759</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-5.6772216547497445</v>
      </c>
      <c r="BM31" s="1191">
        <f>IF(ISNUMBER((Datos!P31-Datos!Q31+R31)/(Datos!R31-Datos!P31+Datos!Q31-R31)),(Datos!P31-Datos!Q31+R31)/(Datos!R31-Datos!P31+Datos!Q31-R31)," - ")</f>
        <v>-2.5210084033613446E-2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300</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1.2565617248750864</v>
      </c>
      <c r="F33" s="677">
        <f>IF(ISNUMBER(STDEV(F8:F30)),STDEV(F8:F30),"-")</f>
        <v>489.37701894006699</v>
      </c>
      <c r="G33" s="678">
        <f>IF(ISNUMBER(STDEV(G8:G30)),STDEV(G8:G30),"-")</f>
        <v>475.90475237523458</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2611.2931662300962</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275.7601183223253</v>
      </c>
      <c r="BD33" s="677"/>
      <c r="BE33" s="677">
        <f>IF(ISNUMBER(STDEV(BE8:BE30)),STDEV(BE8:BE30),"-")</f>
        <v>0</v>
      </c>
      <c r="BF33" s="682">
        <f>IF(ISNUMBER(STDEV(BF8:BF30)),STDEV(BF8:BF30),"-")</f>
        <v>0</v>
      </c>
      <c r="BG33" s="1055">
        <f>IF(ISNUMBER(STDEV(BG8:BG30)),STDEV(BG8:BG30),"-")</f>
        <v>0.15757180363093712</v>
      </c>
      <c r="BH33" s="1061">
        <f>IF(ISNUMBER(STDEV(BH8:BH30)),STDEV(BH8:BH30),"-")</f>
        <v>2.52568837609501</v>
      </c>
      <c r="BI33" s="273">
        <f>IF(ISNUMBER(STDEV(BI8:BI30)),STDEV(BI8:BI30),"-")</f>
        <v>6.1872770253906487E-2</v>
      </c>
      <c r="BJ33" s="244" t="str">
        <f>IF(ISNUMBER(BL33/BM33),BL33/BM33," - ")</f>
        <v xml:space="preserve"> - </v>
      </c>
      <c r="BK33" s="713"/>
      <c r="BL33" s="685">
        <f>IF(ISNUMBER(STDEV(BL8:BL30)),STDEV(BL8:BL30),"-")</f>
        <v>2.6227763753316116</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JVpLs99TtmLuB5ATH1ztWKERLsssgxrYfGfaDxRzm8y/uXSaPH1/5q/b4/VEwHhV4FZX0NOtmfcknBhaUe1a4Q==" saltValue="PR6odezQOjvOjUIPh4uiI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ANDALUCIA</v>
      </c>
    </row>
    <row r="2" spans="1:72" ht="16.5" customHeight="1">
      <c r="C2" s="651" t="str">
        <f>Criterios!A10 &amp;"  "&amp;Criterios!B10 &amp; "  " &amp; IF(NOT(ISBLANK(Criterios!A11)),Criterios!A11 &amp;"  "&amp;Criterios!B11,"")</f>
        <v>Provincias  MALAGA  Resumenes por Partidos Judiciales  ANTEQUERA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21</v>
      </c>
      <c r="G10" s="556">
        <f>IF(ISNUMBER(Datos!I10),Datos!I10," - ")</f>
        <v>18</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43</v>
      </c>
      <c r="Z10" s="810">
        <f>IF(ISNUMBER(Datos!Q10),Datos!Q10," - ")</f>
        <v>4</v>
      </c>
      <c r="AA10" s="555">
        <f>IF(ISNUMBER(Datos!L10),Datos!L10,"-")</f>
        <v>8</v>
      </c>
      <c r="AB10" s="553"/>
      <c r="AC10" s="553"/>
      <c r="AD10" s="567"/>
      <c r="AE10" s="567">
        <f>IF(ISNUMBER(Datos!R10),Datos!R10," - ")</f>
        <v>4</v>
      </c>
      <c r="AF10" s="697" t="str">
        <f>IF(ISNUMBER(Datos!BV10),Datos!BV10," - ")</f>
        <v xml:space="preserve"> - </v>
      </c>
      <c r="AG10" s="556" t="str">
        <f>IF(ISNUMBER(Datos!DV10),Datos!DV10," - ")</f>
        <v xml:space="preserve"> - </v>
      </c>
      <c r="AH10" s="557"/>
      <c r="AI10" s="558"/>
      <c r="AJ10" s="556">
        <f>IF(ISNUMBER(Datos!M10),Datos!M10," - ")</f>
        <v>28</v>
      </c>
      <c r="AK10" s="697">
        <f>IF(ISNUMBER(Datos!N10),Datos!N10," - ")</f>
        <v>7</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2.0465116279069768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3</v>
      </c>
      <c r="B12" s="750" t="s">
        <v>324</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551</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690</v>
      </c>
      <c r="AA12" s="555" t="str">
        <f>IF(ISNUMBER(IF(J_V="SI",Datos!L12,Datos!L12+Datos!AB12)-IF(Monitorios="SI",Datos!CD12,0)),
                          IF(J_V="SI",Datos!L12,Datos!L12+Datos!AB12)-IF(Monitorios="SI",Datos!CD12,0),
                          " - ")</f>
        <v xml:space="preserve"> - </v>
      </c>
      <c r="AB12" s="553"/>
      <c r="AC12" s="553"/>
      <c r="AD12" s="567"/>
      <c r="AE12" s="567">
        <f>IF(ISNUMBER(Datos!R12),Datos!R12," - ")</f>
        <v>1842</v>
      </c>
      <c r="AF12" s="697" t="str">
        <f>IF(ISNUMBER(Datos!BV12),Datos!BV12," - ")</f>
        <v xml:space="preserve"> - </v>
      </c>
      <c r="AG12" s="556" t="str">
        <f>IF(ISNUMBER(Datos!DV12),Datos!DV12," - ")</f>
        <v xml:space="preserve"> - </v>
      </c>
      <c r="AH12" s="557"/>
      <c r="AI12" s="558"/>
      <c r="AJ12" s="556">
        <f>IF(ISNUMBER(Datos!M12),Datos!M12," - ")</f>
        <v>533</v>
      </c>
      <c r="AK12" s="697">
        <f>IF(ISNUMBER(Datos!N12),Datos!N12," - ")</f>
        <v>881</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6.6796303427031196</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-7.0166582534073707E-2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3</v>
      </c>
      <c r="F14" s="1200">
        <f>SUBTOTAL(9,F8:F13)</f>
        <v>21</v>
      </c>
      <c r="G14" s="1200">
        <f>SUBTOTAL(9,G8:G13)</f>
        <v>18</v>
      </c>
      <c r="H14" s="1214"/>
      <c r="I14" s="1200">
        <f t="shared" ref="I14:N14" si="1">SUBTOTAL(9,I8:I13)</f>
        <v>0</v>
      </c>
      <c r="J14" s="1167">
        <f t="shared" si="1"/>
        <v>0</v>
      </c>
      <c r="K14" s="1214">
        <f t="shared" si="1"/>
        <v>0</v>
      </c>
      <c r="L14" s="1214">
        <f t="shared" si="1"/>
        <v>0</v>
      </c>
      <c r="M14" s="1214">
        <f t="shared" si="1"/>
        <v>0</v>
      </c>
      <c r="N14" s="1214">
        <f t="shared" si="1"/>
        <v>555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43</v>
      </c>
      <c r="Z14" s="1213">
        <f t="shared" si="3"/>
        <v>694</v>
      </c>
      <c r="AA14" s="1202">
        <f t="shared" si="3"/>
        <v>8</v>
      </c>
      <c r="AB14" s="1202">
        <f t="shared" si="3"/>
        <v>0</v>
      </c>
      <c r="AC14" s="1202">
        <f t="shared" si="3"/>
        <v>0</v>
      </c>
      <c r="AD14" s="1202">
        <f t="shared" si="3"/>
        <v>0</v>
      </c>
      <c r="AE14" s="1202">
        <f t="shared" si="3"/>
        <v>1846</v>
      </c>
      <c r="AF14" s="1214">
        <f t="shared" si="3"/>
        <v>0</v>
      </c>
      <c r="AG14" s="1214">
        <f t="shared" si="3"/>
        <v>0</v>
      </c>
      <c r="AH14" s="1214">
        <f t="shared" si="3"/>
        <v>0</v>
      </c>
      <c r="AI14" s="1214">
        <f t="shared" si="3"/>
        <v>0</v>
      </c>
      <c r="AJ14" s="1214">
        <f t="shared" si="3"/>
        <v>561</v>
      </c>
      <c r="AK14" s="1214">
        <f t="shared" si="3"/>
        <v>888</v>
      </c>
      <c r="AL14" s="1214">
        <f t="shared" si="3"/>
        <v>0</v>
      </c>
      <c r="AM14" s="1214">
        <f t="shared" si="3"/>
        <v>0</v>
      </c>
      <c r="AN14" s="1214">
        <f t="shared" si="3"/>
        <v>0</v>
      </c>
      <c r="AO14" s="1206">
        <f>IF(ISNUMBER(((NºAsuntos!I14/NºAsuntos!G14)*11)/factor_trimestre),((NºAsuntos!I14/NºAsuntos!G14)*11)/factor_trimestre," - ")</f>
        <v>6.6041666666666661</v>
      </c>
      <c r="AP14" s="1216" t="str">
        <f>IF(ISNUMBER(Datos!CI14/Datos!CJ14),Datos!CI14/Datos!CJ14," - ")</f>
        <v xml:space="preserve"> - </v>
      </c>
      <c r="AQ14" s="1240">
        <f>SUBTOTAL(9,AQ9:AQ13)</f>
        <v>0</v>
      </c>
      <c r="AR14" s="1240">
        <f>SUBTOTAL(9,AR9:AR13)</f>
        <v>-7.0166582534073707E-2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3</v>
      </c>
      <c r="B17" s="750" t="s">
        <v>515</v>
      </c>
      <c r="C17" s="770" t="str">
        <f>Datos!A17</f>
        <v xml:space="preserve">Jdos. 1ª Instª. e Instr.                        </v>
      </c>
      <c r="D17" s="597"/>
      <c r="E17" s="752">
        <f>IF(ISNUMBER(Datos!AQ17),Datos!AQ17," - ")</f>
        <v>3</v>
      </c>
      <c r="F17" s="547">
        <f>IF(ISNUMBER(AA17+Y17-Datos!J17-K16),AA17+Y17-Datos!J17-K16," - ")</f>
        <v>958</v>
      </c>
      <c r="G17" s="556">
        <f>IF(ISNUMBER(IF(D_I="SI",Datos!I17,Datos!I17+Datos!AC17)),IF(D_I="SI",Datos!I17,Datos!I17+Datos!AC17)," - ")</f>
        <v>958</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199</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5301</v>
      </c>
      <c r="Z17" s="810">
        <f>IF(ISNUMBER(Datos!Q17),Datos!Q17," - ")</f>
        <v>112</v>
      </c>
      <c r="AA17" s="555">
        <f>IF(ISNUMBER(IF(D_I="SI",Datos!L17,Datos!L17+Datos!AF17)),IF(D_I="SI",Datos!L17,Datos!L17+Datos!AF17)," - ")</f>
        <v>713</v>
      </c>
      <c r="AB17" s="553"/>
      <c r="AC17" s="553"/>
      <c r="AD17" s="567"/>
      <c r="AE17" s="567">
        <f>IF(ISNUMBER(Datos!R17),Datos!R17," - ")</f>
        <v>242</v>
      </c>
      <c r="AF17" s="697" t="str">
        <f>IF(ISNUMBER(Datos!BV17),Datos!BV17," - ")</f>
        <v xml:space="preserve"> - </v>
      </c>
      <c r="AG17" s="556"/>
      <c r="AH17" s="557"/>
      <c r="AI17" s="558"/>
      <c r="AJ17" s="556">
        <f>IF(ISNUMBER(Datos!M17),Datos!M17," - ")</f>
        <v>496</v>
      </c>
      <c r="AK17" s="697">
        <f>IF(ISNUMBER(Datos!N17),Datos!N17," - ")</f>
        <v>3779</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1.4795321637426899</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74</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214</v>
      </c>
      <c r="Z18" s="810">
        <f>IF(ISNUMBER(Datos!Q18),Datos!Q18," - ")</f>
        <v>2</v>
      </c>
      <c r="AA18" s="555">
        <f>IF(ISNUMBER(Datos!L18),Datos!L18,"-")</f>
        <v>74</v>
      </c>
      <c r="AB18" s="553"/>
      <c r="AC18" s="553"/>
      <c r="AD18" s="567"/>
      <c r="AE18" s="567">
        <f>IF(ISNUMBER(Datos!R18),Datos!R18," - ")</f>
        <v>0</v>
      </c>
      <c r="AF18" s="697" t="str">
        <f>IF(ISNUMBER(Datos!BV18),Datos!BV18," - ")</f>
        <v xml:space="preserve"> - </v>
      </c>
      <c r="AG18" s="556" t="str">
        <f>IF(ISNUMBER(Datos!DV18),Datos!DV18," - ")</f>
        <v xml:space="preserve"> - </v>
      </c>
      <c r="AH18" s="557"/>
      <c r="AI18" s="558"/>
      <c r="AJ18" s="556">
        <f>IF(ISNUMBER(Datos!M18),Datos!M18," - ")</f>
        <v>24</v>
      </c>
      <c r="AK18" s="697">
        <f>IF(ISNUMBER(Datos!N18),Datos!N18," - ")</f>
        <v>147</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3.8037383177570092</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3</v>
      </c>
      <c r="F23" s="1200">
        <f>SUBTOTAL(9,F16:F22)</f>
        <v>958</v>
      </c>
      <c r="G23" s="1200">
        <f>SUBTOTAL(9,G16:G22)</f>
        <v>1032</v>
      </c>
      <c r="H23" s="1245">
        <f>SUBTOTAL(9,H16:H22)</f>
        <v>0</v>
      </c>
      <c r="I23" s="1220">
        <f>SUBTOTAL(9,I16:I22)</f>
        <v>0</v>
      </c>
      <c r="J23" s="1167">
        <f>SUBTOTAL(9,J15:J22)</f>
        <v>0</v>
      </c>
      <c r="K23" s="1245">
        <f t="shared" ref="K23:S23" si="4">SUBTOTAL(9,K16:K22)</f>
        <v>0</v>
      </c>
      <c r="L23" s="1245">
        <f t="shared" si="4"/>
        <v>0</v>
      </c>
      <c r="M23" s="1245">
        <f t="shared" si="4"/>
        <v>0</v>
      </c>
      <c r="N23" s="1245">
        <f t="shared" si="4"/>
        <v>199</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5515</v>
      </c>
      <c r="Z23" s="1245">
        <f t="shared" si="5"/>
        <v>114</v>
      </c>
      <c r="AA23" s="1245">
        <f t="shared" si="5"/>
        <v>787</v>
      </c>
      <c r="AB23" s="1245">
        <f t="shared" si="5"/>
        <v>0</v>
      </c>
      <c r="AC23" s="1245">
        <f t="shared" si="5"/>
        <v>0</v>
      </c>
      <c r="AD23" s="1245">
        <f t="shared" si="5"/>
        <v>0</v>
      </c>
      <c r="AE23" s="1245">
        <f t="shared" si="5"/>
        <v>242</v>
      </c>
      <c r="AF23" s="1245">
        <f t="shared" si="5"/>
        <v>0</v>
      </c>
      <c r="AG23" s="1245">
        <f t="shared" si="5"/>
        <v>0</v>
      </c>
      <c r="AH23" s="1245">
        <f t="shared" si="5"/>
        <v>0</v>
      </c>
      <c r="AI23" s="1245">
        <f t="shared" si="5"/>
        <v>0</v>
      </c>
      <c r="AJ23" s="1245">
        <f t="shared" si="5"/>
        <v>520</v>
      </c>
      <c r="AK23" s="1245">
        <f t="shared" si="5"/>
        <v>3926</v>
      </c>
      <c r="AL23" s="1245">
        <f t="shared" si="5"/>
        <v>0</v>
      </c>
      <c r="AM23" s="1245">
        <f t="shared" si="5"/>
        <v>0</v>
      </c>
      <c r="AN23" s="1245">
        <f t="shared" si="5"/>
        <v>0</v>
      </c>
      <c r="AO23" s="1247">
        <f>IF(ISNUMBER(((NºAsuntos!I23/NºAsuntos!G23)*11)/factor_trimestre),((NºAsuntos!I23/NºAsuntos!G23)*11)/factor_trimestre," - ")</f>
        <v>1.5697189483227563</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6</v>
      </c>
      <c r="F31" s="1120">
        <f t="shared" si="10"/>
        <v>979</v>
      </c>
      <c r="G31" s="1120">
        <f t="shared" si="10"/>
        <v>1050</v>
      </c>
      <c r="H31" s="1121">
        <f t="shared" si="10"/>
        <v>0</v>
      </c>
      <c r="I31" s="1120">
        <f t="shared" si="10"/>
        <v>0</v>
      </c>
      <c r="J31" s="1122">
        <f t="shared" si="10"/>
        <v>0</v>
      </c>
      <c r="K31" s="1120">
        <f t="shared" si="10"/>
        <v>0</v>
      </c>
      <c r="L31" s="1123">
        <f t="shared" si="10"/>
        <v>0</v>
      </c>
      <c r="M31" s="1120">
        <f t="shared" si="10"/>
        <v>0</v>
      </c>
      <c r="N31" s="1121">
        <f t="shared" si="10"/>
        <v>754</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5558</v>
      </c>
      <c r="Z31" s="1127">
        <f t="shared" si="11"/>
        <v>808</v>
      </c>
      <c r="AA31" s="1128">
        <f t="shared" si="11"/>
        <v>795</v>
      </c>
      <c r="AB31" s="1128">
        <f t="shared" si="11"/>
        <v>0</v>
      </c>
      <c r="AC31" s="1128">
        <f t="shared" si="11"/>
        <v>0</v>
      </c>
      <c r="AD31" s="1129">
        <f t="shared" si="11"/>
        <v>0</v>
      </c>
      <c r="AE31" s="1129">
        <f t="shared" si="11"/>
        <v>2088</v>
      </c>
      <c r="AF31" s="1130">
        <f t="shared" si="11"/>
        <v>0</v>
      </c>
      <c r="AG31" s="1131">
        <f t="shared" si="11"/>
        <v>0</v>
      </c>
      <c r="AH31" s="1132">
        <f t="shared" si="11"/>
        <v>0</v>
      </c>
      <c r="AI31" s="1130">
        <f t="shared" si="11"/>
        <v>0</v>
      </c>
      <c r="AJ31" s="1120">
        <f t="shared" si="11"/>
        <v>1081</v>
      </c>
      <c r="AK31" s="1120">
        <f t="shared" si="11"/>
        <v>4814</v>
      </c>
      <c r="AL31" s="1120">
        <f t="shared" si="11"/>
        <v>0</v>
      </c>
      <c r="AM31" s="1133">
        <f t="shared" si="11"/>
        <v>0</v>
      </c>
      <c r="AN31" s="1123">
        <f>IF(ISNUMBER(Datos!K31/Datos!J31),Datos!K31/Datos!J31," - ")</f>
        <v>1.0627435173988984</v>
      </c>
      <c r="AO31" s="1123">
        <f>IF(ISNUMBER(FIND("06",Criterios!A8,1)),(IF(ISNUMBER(((Datos!R31/Datos!Q31)*11)/factor_trimestre),((Datos!R31/Datos!Q31)*11)/factor_trimestre," - ")),(IF(ISNUMBER(((Datos!L31/Datos!K31)*11)/factor_trimestre),((Datos!L31/Datos!K31)*11)/factor_trimestre," - ")))</f>
        <v>3.2109987357774967</v>
      </c>
      <c r="AP31" s="1134" t="str">
        <f>IF(ISNUMBER(Datos!CI31/Datos!CJ31),Datos!CI31/Datos!CJ31," - ")</f>
        <v xml:space="preserve"> - </v>
      </c>
      <c r="AQ31" s="1134">
        <f>IF(OR(ISNUMBER(FIND("01",Criterios!A8,1)),ISNUMBER(FIND("02",Criterios!A8,1)),ISNUMBER(FIND("03",Criterios!A8,1)),ISNUMBER(FIND("04",Criterios!A8,1))),(J31-Y31+K31)/(F31-K31),(I31-Y31+K31)/(F31-K31))</f>
        <v>-5.6772216547497445</v>
      </c>
      <c r="AR31" s="1134">
        <f>IF(ISNUMBER((Datos!P31-Datos!Q31+O31)/(Datos!R31-Datos!P31+Datos!Q31-O31)),(Datos!P31-Datos!Q31+O31)/(Datos!R31-Datos!P31+Datos!Q31-O31)," - ")</f>
        <v>-2.5210084033613446E-2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300</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489.37701894006699</v>
      </c>
      <c r="G33" s="678">
        <f>IF(ISNUMBER(STDEV(G8:G30)),STDEV(G8:G30),"-")</f>
        <v>475.90475237523458</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275.7601183223253</v>
      </c>
      <c r="AK33" s="276"/>
      <c r="AL33" s="276">
        <f>IF(ISNUMBER(STDEV(AL8:AL30)),STDEV(AL8:AL30),"-")</f>
        <v>0</v>
      </c>
      <c r="AM33" s="278">
        <f>IF(ISNUMBER(STDEV(AM8:AM30)),STDEV(AM8:AM30),"-")</f>
        <v>0</v>
      </c>
      <c r="AN33" s="664">
        <f>IF(ISNUMBER(STDEV(AN8:AN30)),STDEV(AN8:AN30),"-")</f>
        <v>0</v>
      </c>
      <c r="AO33" s="665">
        <f>IF(ISNUMBER(STDEV(AO8:AO30)),STDEV(AO8:AO30),"-")</f>
        <v>2.430049164964116</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UgpjeQ3H/BSotexAPBML43D0BdKChXLOMVpphHjDGGnPyRA0qMiv2cHVUAFlgjafWaIlgBkd3M6PW7EsjqNe+w==" saltValue="MF7kW1b5Oxlmiy31+DKtL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pPw1Ck4+MjQ/7grgBDLHfhBl3o966YmAbYQie2ZoGO5qhu/vDPwIw2ccd7nkXA8FrVFyPpuNQ7tUHJHAqyADVA==" saltValue="qT6natNOIF0dlyk6GaEv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ANDALUCIA</v>
      </c>
    </row>
    <row r="4" spans="1:151" ht="13.5" thickBot="1">
      <c r="A4" t="str">
        <f>Criterios!A10</f>
        <v>Provincias</v>
      </c>
      <c r="B4" t="str">
        <f>Criterios!B10</f>
        <v>MALAGA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eRHYUzotmyz36DyaKp1uphSxnYcnNQEC/1onreGciglt5z8rzs9svLH2v6v6WkdBCpYaVDhuKiuR5sigFHjfA==" saltValue="n4uW+HvTsZZVmXs63laYN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ANDALUCIA</v>
      </c>
      <c r="F1" s="859"/>
    </row>
    <row r="2" spans="1:72" ht="16.5" customHeight="1">
      <c r="C2" s="571" t="str">
        <f>Criterios!A10 &amp;"  "&amp;Criterios!B10 &amp; "  " &amp; IF(NOT(ISBLANK(Criterios!A11)),Criterios!A11 &amp;"  "&amp;Criterios!B11,"")</f>
        <v>Provincias  MALAGA  Resumenes por Partidos Judiciales  ANTEQUERA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0.21249999999999999</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0.15026019100214133</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eKS27qNNRry48FwbaRH/VvHNKgUB4QPbS2eLzOTDD39xZZfbzSJGuRvWO6+BSTnfhoABgsCYpIosAhUwAgH1dg==" saltValue="jdJaIhd+kV/06bNNeka3F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Oo5gugBkOAxhx6YSfVBdl4bzTJHiFIzHO2D8RiYzWx2Q5T7PtsomLO2A6lvJ9lN9vbTAv89jTj4GREUza0Pe1Q==" saltValue="AiZx55wkVMd/opbs2+ew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ANDALUCIA</v>
      </c>
      <c r="C2" s="437"/>
      <c r="D2" s="437"/>
      <c r="E2" s="437"/>
      <c r="F2" s="437"/>
    </row>
    <row r="3" spans="1:14" ht="19.5">
      <c r="A3" s="439" t="s">
        <v>162</v>
      </c>
      <c r="B3" s="440" t="str">
        <f>Criterios!A10 &amp;"  "&amp;Criterios!B10</f>
        <v>Provincias  MALAGA</v>
      </c>
      <c r="D3" s="437"/>
      <c r="E3" s="437"/>
      <c r="F3" s="437"/>
    </row>
    <row r="4" spans="1:14" ht="13.5" thickBot="1">
      <c r="A4" s="437"/>
      <c r="B4" s="440" t="str">
        <f>Criterios!A11 &amp;"  "&amp;Criterios!B11</f>
        <v>Resumenes por Partidos Judiciales  ANTEQUERA</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18</v>
      </c>
      <c r="D10" s="453">
        <f>IF(ISNUMBER(C10/Datos!BH10),C10/Datos!BH10," - ")</f>
        <v>18</v>
      </c>
      <c r="E10" s="452">
        <f>IF(ISNUMBER(Datos!J10),Datos!J10," - ")</f>
        <v>30</v>
      </c>
      <c r="F10" s="453">
        <f>IF(ISNUMBER(E10/B10),E10/B10," - ")</f>
        <v>30</v>
      </c>
      <c r="G10" s="452">
        <f>IF(ISNUMBER(Datos!K10),Datos!K10," - ")</f>
        <v>43</v>
      </c>
      <c r="H10" s="453">
        <f>IF(ISNUMBER(G10/B10),G10/B10," - ")</f>
        <v>43</v>
      </c>
      <c r="I10" s="452">
        <f>IF(ISNUMBER(Datos!L10),Datos!L10," - ")</f>
        <v>8</v>
      </c>
      <c r="J10" s="453">
        <f>IF(ISNUMBER(I10/B10),I10/B10," - ")</f>
        <v>8</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1759</v>
      </c>
      <c r="D12" s="453">
        <f>IF(ISNUMBER(C12/Datos!BH12),C12/Datos!BH12," - ")</f>
        <v>586.33333333333337</v>
      </c>
      <c r="E12" s="452">
        <f>IF(ISNUMBER(IF(J_V="SI",Datos!J12,Datos!J12+Datos!Z12)),IF(J_V="SI",Datos!J12,Datos!J12+Datos!Z12)," - ")</f>
        <v>2376</v>
      </c>
      <c r="F12" s="453">
        <f>IF(ISNUMBER(E12/B12),E12/B12," - ")</f>
        <v>792</v>
      </c>
      <c r="G12" s="452">
        <f>IF(ISNUMBER(IF(J_V="SI",Datos!K12,Datos!K12+Datos!AA12)),IF(J_V="SI",Datos!K12,Datos!K12+Datos!AA12)," - ")</f>
        <v>2597</v>
      </c>
      <c r="H12" s="453">
        <f>IF(ISNUMBER(G12/B12),G12/B12," - ")</f>
        <v>865.66666666666663</v>
      </c>
      <c r="I12" s="452">
        <f>IF(ISNUMBER(IF(J_V="SI",Datos!L12,Datos!L12+Datos!AB12)),IF(J_V="SI",Datos!L12,Datos!L12+Datos!AB12)," - ")</f>
        <v>1577</v>
      </c>
      <c r="J12" s="453">
        <f>IF(ISNUMBER(I12/B12),I12/B12," - ")</f>
        <v>525.66666666666663</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1777</v>
      </c>
      <c r="D14" s="1150" t="str">
        <f>IF(ISNUMBER(C14/Datos!BI14),C14/Datos!BI14," - ")</f>
        <v xml:space="preserve"> - </v>
      </c>
      <c r="E14" s="1149">
        <f>SUBTOTAL(9,E8:E13)</f>
        <v>2406</v>
      </c>
      <c r="F14" s="1150">
        <f>IF(ISNUMBER(E14/B14),E14/B14," - ")</f>
        <v>802</v>
      </c>
      <c r="G14" s="1149">
        <f>SUBTOTAL(9,G8:G13)</f>
        <v>2640</v>
      </c>
      <c r="H14" s="1150">
        <f>IF(ISNUMBER(G14/B14),G14/B14," - ")</f>
        <v>880</v>
      </c>
      <c r="I14" s="1149">
        <f>SUBTOTAL(9,I8:I13)</f>
        <v>1585</v>
      </c>
      <c r="J14" s="1150">
        <f>IF(ISNUMBER(I14/B14),I14/B14," - ")</f>
        <v>528.33333333333337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958</v>
      </c>
      <c r="D17" s="453">
        <f>IF(ISNUMBER(C17/Datos!BH17),C17/Datos!BH17," - ")</f>
        <v>319.33333333333331</v>
      </c>
      <c r="E17" s="452">
        <f>IF(ISNUMBER(IF(D_I="SI",Datos!J17,Datos!J17+Datos!AD17)),IF(D_I="SI",Datos!J17,Datos!J17+Datos!AD17)," - ")</f>
        <v>5056</v>
      </c>
      <c r="F17" s="453">
        <f>IF(ISNUMBER(E17/B17),E17/B17," - ")</f>
        <v>1685.3333333333333</v>
      </c>
      <c r="G17" s="452">
        <f>IF(ISNUMBER(IF(D_I="SI",Datos!K17,Datos!K17+Datos!AE17)),IF(D_I="SI",Datos!K17,Datos!K17+Datos!AE17)," - ")</f>
        <v>5301</v>
      </c>
      <c r="H17" s="453">
        <f>IF(ISNUMBER(G17/B17),G17/B17," - ")</f>
        <v>1767</v>
      </c>
      <c r="I17" s="452">
        <f>IF(ISNUMBER(IF(D_I="SI",Datos!L17,Datos!L17+Datos!AF17)),IF(D_I="SI",Datos!L17,Datos!L17+Datos!AF17)," - ")</f>
        <v>713</v>
      </c>
      <c r="J17" s="453">
        <f>IF(ISNUMBER(I17/B17),I17/B17," - ")</f>
        <v>237.66666666666666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74</v>
      </c>
      <c r="D18" s="453">
        <f>IF(ISNUMBER(C18/Datos!BH18),C18/Datos!BH18," - ")</f>
        <v>74</v>
      </c>
      <c r="E18" s="452">
        <f>IF(ISNUMBER(IF(D_I="SI",Datos!J18,Datos!J18+Datos!AD18)),IF(D_I="SI",Datos!J18,Datos!J18+Datos!AD18)," - ")</f>
        <v>214</v>
      </c>
      <c r="F18" s="453">
        <f>IF(ISNUMBER(E18/B18),E18/B18," - ")</f>
        <v>214</v>
      </c>
      <c r="G18" s="452">
        <f>IF(ISNUMBER(IF(D_I="SI",Datos!K18,Datos!K18+Datos!AE18)),IF(D_I="SI",Datos!K18,Datos!K18+Datos!AE18)," - ")</f>
        <v>214</v>
      </c>
      <c r="H18" s="453">
        <f>IF(ISNUMBER(G18/B18),G18/B18," - ")</f>
        <v>214</v>
      </c>
      <c r="I18" s="452">
        <f>IF(ISNUMBER(IF(D_I="SI",Datos!L18,Datos!L18+Datos!AF18)),IF(D_I="SI",Datos!L18,Datos!L18+Datos!AF18)," - ")</f>
        <v>74</v>
      </c>
      <c r="J18" s="453">
        <f>IF(ISNUMBER(I18/B18),I18/B18," - ")</f>
        <v>74</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1032</v>
      </c>
      <c r="D23" s="1150" t="str">
        <f>IF(ISNUMBER(C23/Datos!BI23),C23/Datos!BI23," - ")</f>
        <v xml:space="preserve"> - </v>
      </c>
      <c r="E23" s="1149">
        <f>SUBTOTAL(9,E15:E22)</f>
        <v>5270</v>
      </c>
      <c r="F23" s="1150">
        <f>IF(ISNUMBER(E23/B23),E23/B23," - ")</f>
        <v>1756.6666666666667</v>
      </c>
      <c r="G23" s="1149">
        <f>SUBTOTAL(9,G15:G22)</f>
        <v>5515</v>
      </c>
      <c r="H23" s="1150">
        <f>IF(ISNUMBER(G23/B23),G23/B23," - ")</f>
        <v>1838.3333333333333</v>
      </c>
      <c r="I23" s="1149">
        <f>SUBTOTAL(9,I15:I22)</f>
        <v>787</v>
      </c>
      <c r="J23" s="1150">
        <f>IF(ISNUMBER(I23/B23),I23/B23," - ")</f>
        <v>262.33333333333331</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3</v>
      </c>
      <c r="C31" s="1087">
        <f>SUBTOTAL(9,C9:C30)</f>
        <v>2809</v>
      </c>
      <c r="D31" s="1088" t="str">
        <f>IF(ISNUMBER(C31/Datos!BI31),C31/Datos!BI31," - ")</f>
        <v xml:space="preserve"> - </v>
      </c>
      <c r="E31" s="1087">
        <f>SUBTOTAL(9,E9:E30)</f>
        <v>7676</v>
      </c>
      <c r="F31" s="1088">
        <f>IF(ISNUMBER(E31/B31),E31/B31," - ")</f>
        <v>2558.6666666666665</v>
      </c>
      <c r="G31" s="1087">
        <f>SUBTOTAL(9,G9:G30)</f>
        <v>8155</v>
      </c>
      <c r="H31" s="1088">
        <f>IF(ISNUMBER(G31/B31),G31/B31," - ")</f>
        <v>2718.3333333333335</v>
      </c>
      <c r="I31" s="1087">
        <f>SUBTOTAL(9,I9:I30)</f>
        <v>2372</v>
      </c>
      <c r="J31" s="1088">
        <f>IF(ISNUMBER(I31/B31),I31/B31," - ")</f>
        <v>790.66666666666663</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Wi3OkVLNjNCnQubjoCmDKOCsZZgRuFQl0dxL8Z4zU0xy9GgMFlImx2mOoUGgXiezHh5dxfdSHxrMAXEtFIMiuA==" saltValue="uanfnTbULtUbXFDgWqHp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ANDALUCIA</v>
      </c>
      <c r="F1" s="859"/>
      <c r="W1"/>
      <c r="X1"/>
      <c r="BD1" s="859"/>
    </row>
    <row r="2" spans="1:64" ht="16.5" customHeight="1">
      <c r="C2" s="571" t="str">
        <f>Criterios!A10 &amp;"  "&amp;Criterios!B10 &amp; "  " &amp; IF(NOT(ISBLANK(Criterios!A11)),Criterios!A11 &amp;"  "&amp;Criterios!B11,"")</f>
        <v>Provincias  MALAGA  Resumenes por Partidos Judiciales  ANTEQUERA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21</v>
      </c>
      <c r="G10" s="909">
        <f>IF(ISNUMBER(Datos!I10),Datos!I10," - ")</f>
        <v>18</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43</v>
      </c>
      <c r="AC10" s="908" t="str">
        <f>IF(ISNUMBER(IF(D_I="SI",DatosP!K18,DatosP!K18+DatosP!AE18)),IF(D_I="SI",DatosP!K18,DatosP!K18+DatosP!AE18)," - ")</f>
        <v xml:space="preserve"> - </v>
      </c>
      <c r="AD10" s="910"/>
      <c r="AE10" s="910"/>
      <c r="AF10" s="913">
        <f>IF(ISNUMBER(Datos!L10),Datos!L10,"-")</f>
        <v>8</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28</v>
      </c>
      <c r="AM10" s="917">
        <f>IF(ISNUMBER(Datos!N10+DatosP!N18),Datos!N10+DatosP!N18," - ")</f>
        <v>7</v>
      </c>
      <c r="AN10" s="917">
        <f>IF(ISNUMBER(Datos!BW10+DatosP!BW18),Datos!BW10+DatosP!BW18," - ")</f>
        <v>0</v>
      </c>
      <c r="AO10" s="918">
        <f>IF(ISNUMBER(Datos!BX10+DatosP!BX18),Datos!BX10+DatosP!BX18," - ")</f>
        <v>0</v>
      </c>
      <c r="AP10" s="920">
        <f>IF(ISNUMBER(((Datos!L10/Datos!K10)*11)/factor_trimestre),((Datos!L10/Datos!K10)*11)/factor_trimestre," - ")</f>
        <v>2.0465116279069768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324</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551</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690</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1842</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533</v>
      </c>
      <c r="AM12" s="917">
        <f>IF(ISNUMBER(Datos!N12+DatosP!N17),Datos!N12+DatosP!N17," - ")</f>
        <v>881</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6.6796303427031196</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-7.0166582534073707E-2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21</v>
      </c>
      <c r="G14" s="1261">
        <f t="shared" si="0"/>
        <v>18</v>
      </c>
      <c r="H14" s="1261">
        <f t="shared" si="0"/>
        <v>0</v>
      </c>
      <c r="I14" s="1263">
        <f t="shared" si="0"/>
        <v>0</v>
      </c>
      <c r="J14" s="1262">
        <f t="shared" si="0"/>
        <v>0</v>
      </c>
      <c r="K14" s="1262">
        <f t="shared" si="0"/>
        <v>0</v>
      </c>
      <c r="L14" s="1264">
        <f t="shared" si="0"/>
        <v>0</v>
      </c>
      <c r="M14" s="1264">
        <f t="shared" si="0"/>
        <v>0</v>
      </c>
      <c r="N14" s="1262">
        <f t="shared" si="0"/>
        <v>555</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43</v>
      </c>
      <c r="AC14" s="1262">
        <f t="shared" si="1"/>
        <v>0</v>
      </c>
      <c r="AD14" s="1262">
        <f t="shared" si="1"/>
        <v>690</v>
      </c>
      <c r="AE14" s="1262">
        <f t="shared" si="1"/>
        <v>0</v>
      </c>
      <c r="AF14" s="1262">
        <f t="shared" si="1"/>
        <v>8</v>
      </c>
      <c r="AG14" s="1262">
        <f t="shared" si="1"/>
        <v>0</v>
      </c>
      <c r="AH14" s="1262">
        <f t="shared" si="1"/>
        <v>1842</v>
      </c>
      <c r="AI14" s="1262">
        <f t="shared" si="1"/>
        <v>0</v>
      </c>
      <c r="AJ14" s="1262">
        <f t="shared" si="1"/>
        <v>0</v>
      </c>
      <c r="AK14" s="1262">
        <f t="shared" si="1"/>
        <v>0</v>
      </c>
      <c r="AL14" s="1262">
        <f t="shared" si="1"/>
        <v>561</v>
      </c>
      <c r="AM14" s="1262">
        <f t="shared" si="1"/>
        <v>888</v>
      </c>
      <c r="AN14" s="1262">
        <f t="shared" si="1"/>
        <v>0</v>
      </c>
      <c r="AO14" s="1262">
        <f t="shared" si="1"/>
        <v>0</v>
      </c>
      <c r="AP14" s="1267">
        <f>IF(ISNUMBER(((Datos!L14/Datos!K14)*11)/factor_trimestre),((Datos!L14/Datos!K14)*11)/factor_trimestre," - ")</f>
        <v>6.9903966597077245</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-2.0476190476190474</v>
      </c>
      <c r="AU14" s="1262" t="str">
        <f>IF(ISNUMBER((DatosP!#REF!-DatosP!#REF!+DatosP!#REF!)/(DatosP!#REF!+DatosP!#REF!-DatosP!#REF!-DatosP!#REF!)),(DatosP!#REF!-DatosP!#REF!+DatosP!#REF!)/(DatosP!#REF!+DatosP!#REF!-DatosP!#REF!-DatosP!#REF!)," - ")</f>
        <v xml:space="preserve"> - </v>
      </c>
      <c r="AV14" s="1268">
        <f>SUBTOTAL(9,AV9:AV13)</f>
        <v>-7.0166582534073707E-2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1.5697189483227563</v>
      </c>
      <c r="AQ23" s="1267">
        <f>IF(ISNUMBER(((Datos!M23/Datos!L23)*11)/factor_trimestre),((Datos!M23/Datos!L23)*11)/factor_trimestre," - ")</f>
        <v>7.2681067344345616</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0.54140127388535031</v>
      </c>
      <c r="AW23" s="1270">
        <f>IF(ISNUMBER((Datos!Q23-Datos!R23)/(Datos!S23-Datos!Q23+Datos!R23)),(Datos!Q23-Datos!R23)/(Datos!S23-Datos!Q23+Datos!R23)," - ")</f>
        <v>-9.9766173031956354E-2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21</v>
      </c>
      <c r="G31" s="1283">
        <f t="shared" si="8"/>
        <v>18</v>
      </c>
      <c r="H31" s="1283">
        <f t="shared" si="8"/>
        <v>0</v>
      </c>
      <c r="I31" s="1284">
        <f t="shared" si="8"/>
        <v>0</v>
      </c>
      <c r="J31" s="1285">
        <f t="shared" si="8"/>
        <v>0</v>
      </c>
      <c r="K31" s="1285">
        <f t="shared" si="8"/>
        <v>0</v>
      </c>
      <c r="L31" s="1285">
        <f t="shared" si="8"/>
        <v>0</v>
      </c>
      <c r="M31" s="1285">
        <f t="shared" si="8"/>
        <v>0</v>
      </c>
      <c r="N31" s="1284">
        <f t="shared" si="8"/>
        <v>555</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43</v>
      </c>
      <c r="AC31" s="1289">
        <f t="shared" si="9"/>
        <v>0</v>
      </c>
      <c r="AD31" s="1289">
        <f t="shared" si="9"/>
        <v>690</v>
      </c>
      <c r="AE31" s="1289">
        <f t="shared" si="9"/>
        <v>0</v>
      </c>
      <c r="AF31" s="1290">
        <f t="shared" si="9"/>
        <v>8</v>
      </c>
      <c r="AG31" s="1290">
        <f t="shared" si="9"/>
        <v>0</v>
      </c>
      <c r="AH31" s="1290">
        <f t="shared" si="9"/>
        <v>1842</v>
      </c>
      <c r="AI31" s="1290">
        <f t="shared" si="9"/>
        <v>0</v>
      </c>
      <c r="AJ31" s="1291">
        <f t="shared" si="9"/>
        <v>0</v>
      </c>
      <c r="AK31" s="1291">
        <f t="shared" si="9"/>
        <v>0</v>
      </c>
      <c r="AL31" s="1283">
        <f t="shared" si="9"/>
        <v>561</v>
      </c>
      <c r="AM31" s="1283">
        <f t="shared" si="9"/>
        <v>888</v>
      </c>
      <c r="AN31" s="1283">
        <f t="shared" si="9"/>
        <v>0</v>
      </c>
      <c r="AO31" s="1283">
        <f t="shared" si="9"/>
        <v>0</v>
      </c>
      <c r="AP31" s="1283">
        <f>IF(ISNUMBER(((Datos!L31/Datos!K31)*11)/factor_trimestre),((Datos!L31/Datos!K31)*11)/factor_trimestre," - ")</f>
        <v>3.2109987357774967</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-2.0476190476190474</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-2.5210084033613446E-2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7.2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1.3228756555322954</v>
      </c>
      <c r="F33" s="1009">
        <f>IF(ISNUMBER(STDEV(F8:F30)),STDEV(F8:F30),"-")</f>
        <v>11.502173707608488</v>
      </c>
      <c r="G33" s="1010">
        <f>IF(ISNUMBER(STDEV(G8:G30)),STDEV(G8:G30),"-")</f>
        <v>9.8590060350929907</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23.552069972722144</v>
      </c>
      <c r="AC33" s="1011">
        <f>IF(ISNUMBER(STDEV(AC8:AC30)),STDEV(AC8:AC30),"-")</f>
        <v>0</v>
      </c>
      <c r="AD33" s="1014"/>
      <c r="AE33" s="1014"/>
      <c r="AF33" s="1014"/>
      <c r="AG33" s="1014"/>
      <c r="AH33" s="1014"/>
      <c r="AI33" s="1014"/>
      <c r="AJ33" s="1015">
        <f>IF(ISNUMBER(STDEV(AJ8:AJ30)),STDEV(AJ8:AJ30),"-")</f>
        <v>0</v>
      </c>
      <c r="AK33" s="1017"/>
      <c r="AL33" s="1009">
        <f>IF(ISNUMBER(STDEV(AL8:AL30)),STDEV(AL8:AL30),"-")</f>
        <v>279.20601712713858</v>
      </c>
      <c r="AM33" s="1009"/>
      <c r="AN33" s="1009">
        <f>IF(ISNUMBER(STDEV(AN8:AN30)),STDEV(AN8:AN30),"-")</f>
        <v>0</v>
      </c>
      <c r="AO33" s="1015">
        <f>IF(ISNUMBER(STDEV(AO8:AO30)),STDEV(AO8:AO30),"-")</f>
        <v>0</v>
      </c>
      <c r="AP33" s="1068">
        <f>IF(ISNUMBER(STDEV(AP8:AP30)),STDEV(AP8:AP30),"-")</f>
        <v>2.9115665386132989</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heCiuG2kYLDErSnt5cfw2qniu3264pwYTu0EzBJ9gQsf+wqmog/pofNZfaEqRMwyc86KQn11r7mr01LEij7Blw==" saltValue="e0263/0k77OBTl6UH2NCc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ANDALUCIA</v>
      </c>
      <c r="C2" s="437"/>
      <c r="E2" s="437"/>
      <c r="F2" s="437"/>
      <c r="G2" s="437"/>
      <c r="H2" s="437"/>
    </row>
    <row r="3" spans="1:15" ht="39">
      <c r="A3" s="464" t="s">
        <v>283</v>
      </c>
      <c r="B3" s="440" t="str">
        <f>Criterios!A10 &amp;"  "&amp;Criterios!B10</f>
        <v>Provincias  MALAGA</v>
      </c>
      <c r="C3" s="464"/>
      <c r="F3" s="437"/>
      <c r="G3" s="437"/>
      <c r="H3" s="437"/>
    </row>
    <row r="4" spans="1:15" ht="13.5" thickBot="1">
      <c r="A4" s="437"/>
      <c r="B4" s="440" t="str">
        <f>Criterios!A11 &amp;"  "&amp;Criterios!B11</f>
        <v>Resumenes por Partidos Judiciales  ANTEQUERA</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ce0KvDFrWoCDX1JfNSKHI/+eXiUdAEybQdqNYAy92wI6qdgO71cMi51+UbQuF6at79ZRfYKMWGojUfsV0MwQpQ==" saltValue="SOij11D6phwi2KOmcsM2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ANDALUCIA</v>
      </c>
      <c r="C2" s="476"/>
      <c r="D2" s="419"/>
    </row>
    <row r="3" spans="1:9" ht="19.5">
      <c r="A3" s="477" t="s">
        <v>16</v>
      </c>
      <c r="B3" s="478" t="str">
        <f>Criterios!A10 &amp;"  "&amp;Criterios!B10</f>
        <v>Provincias  MALAGA</v>
      </c>
      <c r="C3" s="476"/>
      <c r="D3" s="477"/>
    </row>
    <row r="4" spans="1:9" ht="13.5" thickBot="1">
      <c r="B4" s="478" t="str">
        <f>Criterios!A11 &amp;"  "&amp;Criterios!B11</f>
        <v>Resumenes por Partidos Judiciales  ANTEQUERA</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28</v>
      </c>
      <c r="E10" s="453">
        <f>IF(ISNUMBER(D10/B10),D10/B10," - ")</f>
        <v>28</v>
      </c>
      <c r="F10" s="452">
        <f>IF(ISNUMBER(Datos!N10),Datos!N10," - ")</f>
        <v>7</v>
      </c>
      <c r="G10" s="453">
        <f>IF(ISNUMBER(F10/B10),F10/B10," - ")</f>
        <v>7</v>
      </c>
      <c r="H10" s="452">
        <f>IF(ISNUMBER(Datos!O10),Datos!O10," - ")</f>
        <v>8</v>
      </c>
      <c r="I10" s="453">
        <f t="shared" ref="I10:I13" si="2">IF(ISNUMBER(H10/B10),H10/B10," - ")</f>
        <v>8</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533</v>
      </c>
      <c r="E12" s="453">
        <f t="shared" si="0"/>
        <v>177.66666666666666</v>
      </c>
      <c r="F12" s="452">
        <f>IF(ISNUMBER(Datos!N12),Datos!N12," - ")</f>
        <v>881</v>
      </c>
      <c r="G12" s="453">
        <f t="shared" si="1"/>
        <v>293.66666666666669</v>
      </c>
      <c r="H12" s="452">
        <f>IF(ISNUMBER(Datos!O12),Datos!O12," - ")</f>
        <v>1432</v>
      </c>
      <c r="I12" s="453">
        <f t="shared" si="2"/>
        <v>477.33333333333331</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561</v>
      </c>
      <c r="E14" s="1150">
        <f t="shared" si="0"/>
        <v>140.25</v>
      </c>
      <c r="F14" s="1149">
        <f>SUBTOTAL(9,F9:F13)</f>
        <v>888</v>
      </c>
      <c r="G14" s="1150">
        <f t="shared" si="1"/>
        <v>222</v>
      </c>
      <c r="H14" s="1149">
        <f>SUBTOTAL(9,H9:H13)</f>
        <v>1440</v>
      </c>
      <c r="I14" s="1150">
        <f>IF(ISNUMBER(H14/B14),H14/B14," - ")</f>
        <v>360</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496</v>
      </c>
      <c r="E17" s="453">
        <f t="shared" si="3"/>
        <v>165.33333333333334</v>
      </c>
      <c r="F17" s="452">
        <f>IF(ISNUMBER(Datos!N17),Datos!N17," - ")</f>
        <v>3779</v>
      </c>
      <c r="G17" s="453">
        <f t="shared" si="4"/>
        <v>1259.6666666666667</v>
      </c>
      <c r="H17" s="452">
        <f>IF(ISNUMBER(Datos!O17),Datos!O17," - ")</f>
        <v>6</v>
      </c>
      <c r="I17" s="453">
        <f t="shared" si="5"/>
        <v>2</v>
      </c>
    </row>
    <row r="18" spans="1:9">
      <c r="A18" s="451" t="str">
        <f>Datos!A18</f>
        <v>Jdos. Violencia contra la mujer</v>
      </c>
      <c r="B18" s="481">
        <f>Datos!AO18</f>
        <v>1</v>
      </c>
      <c r="C18" s="482">
        <f>Datos!AQ18</f>
        <v>0</v>
      </c>
      <c r="D18" s="452">
        <f>IF(ISNUMBER(Datos!M18),Datos!M18," - ")</f>
        <v>24</v>
      </c>
      <c r="E18" s="453">
        <f>IF(ISNUMBER(D18/B18),D18/B18," - ")</f>
        <v>24</v>
      </c>
      <c r="F18" s="452">
        <f>IF(ISNUMBER(Datos!N18),Datos!N18," - ")</f>
        <v>147</v>
      </c>
      <c r="G18" s="453">
        <f>IF(ISNUMBER(F18/B18),F18/B18," - ")</f>
        <v>147</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520</v>
      </c>
      <c r="E23" s="1150">
        <f t="shared" si="3"/>
        <v>130</v>
      </c>
      <c r="F23" s="1149">
        <f>SUBTOTAL(9,F16:F22)</f>
        <v>3926</v>
      </c>
      <c r="G23" s="1150">
        <f t="shared" si="4"/>
        <v>981.5</v>
      </c>
      <c r="H23" s="1149">
        <f>SUBTOTAL(9,H16:H22)</f>
        <v>6</v>
      </c>
      <c r="I23" s="1150">
        <f>IF(ISNUMBER(H23/B23),H23/B23," - ")</f>
        <v>1.5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3</v>
      </c>
      <c r="C31" s="1087">
        <f>Datos!AR31</f>
        <v>3</v>
      </c>
      <c r="D31" s="1087">
        <f>SUBTOTAL(9,D8:D30)</f>
        <v>1081</v>
      </c>
      <c r="E31" s="1088">
        <f>IF(ISNUMBER(D31/B31),D31/B31," - ")</f>
        <v>360.33333333333331</v>
      </c>
      <c r="F31" s="1087">
        <f>SUBTOTAL(9,F8:F30)</f>
        <v>4814</v>
      </c>
      <c r="G31" s="1088">
        <f>IF(ISNUMBER(F31/B31),F31/B31," - ")</f>
        <v>1604.6666666666667</v>
      </c>
      <c r="H31" s="1087">
        <f>SUBTOTAL(9,H8:H30)</f>
        <v>1446</v>
      </c>
      <c r="I31" s="1088">
        <f>IF(ISNUMBER(H31/B31),H31/B31," - ")</f>
        <v>482</v>
      </c>
    </row>
    <row r="34" spans="1:1">
      <c r="A34" s="440" t="str">
        <f>Criterios!A4</f>
        <v>Fecha Informe: 05 abr. 2022</v>
      </c>
    </row>
    <row r="39" spans="1:1">
      <c r="A39" s="463"/>
    </row>
  </sheetData>
  <sheetProtection algorithmName="SHA-512" hashValue="DxH9x0+4/cZqYzWjMVhpRzYuwkCXw6v78LRINVhTlwqg5pZKTgRYyLxeM8pfGkna+G0AYfXwPGTd9aKczroV7g==" saltValue="2GVLCDq1b1f+TU6ZDtvT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ANDALUCIA</v>
      </c>
    </row>
    <row r="3" spans="1:4" ht="19.5">
      <c r="A3" s="485" t="s">
        <v>48</v>
      </c>
      <c r="B3" s="440" t="str">
        <f>Criterios!A10 &amp;"  "&amp;Criterios!B10</f>
        <v>Provincias  MALAGA</v>
      </c>
    </row>
    <row r="4" spans="1:4" ht="13.5" thickBot="1">
      <c r="B4" s="440" t="str">
        <f>Criterios!A11 &amp;"  "&amp;Criterios!B11</f>
        <v>Resumenes por Partidos Judiciales  ANTEQUERA</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4</v>
      </c>
      <c r="C10" s="490">
        <f>IF(ISNUMBER(Datos!Q10),Datos!Q10," - ")</f>
        <v>4</v>
      </c>
      <c r="D10" s="457">
        <f>IF(ISNUMBER(Datos!R10),Datos!R10," - ")</f>
        <v>4</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551</v>
      </c>
      <c r="C12" s="490">
        <f>IF(ISNUMBER(Datos!Q12),Datos!Q12," - ")</f>
        <v>690</v>
      </c>
      <c r="D12" s="457">
        <f>IF(ISNUMBER(Datos!R12),Datos!R12," - ")</f>
        <v>1842</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555</v>
      </c>
      <c r="C14" s="1153">
        <f>SUBTOTAL(9,C9:C13)</f>
        <v>694</v>
      </c>
      <c r="D14" s="1151">
        <f>SUBTOTAL(9,D9:D13)</f>
        <v>1846</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199</v>
      </c>
      <c r="C17" s="490">
        <f>IF(ISNUMBER(Datos!Q17),Datos!Q17," - ")</f>
        <v>112</v>
      </c>
      <c r="D17" s="457">
        <f>IF(ISNUMBER(Datos!R17),Datos!R17," - ")</f>
        <v>242</v>
      </c>
    </row>
    <row r="18" spans="1:4">
      <c r="A18" s="451" t="str">
        <f>Datos!A18</f>
        <v>Jdos. Violencia contra la mujer</v>
      </c>
      <c r="B18" s="489">
        <f>IF(ISNUMBER(Datos!P18),Datos!P18," - ")</f>
        <v>0</v>
      </c>
      <c r="C18" s="490">
        <f>IF(ISNUMBER(Datos!Q18),Datos!Q18," - ")</f>
        <v>2</v>
      </c>
      <c r="D18" s="457">
        <f>IF(ISNUMBER(Datos!R18),Datos!R18," - ")</f>
        <v>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199</v>
      </c>
      <c r="C23" s="1153">
        <f>SUBTOTAL(9,C16:C22)</f>
        <v>114</v>
      </c>
      <c r="D23" s="1151">
        <f>SUBTOTAL(9,D16:D22)</f>
        <v>242</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754</v>
      </c>
      <c r="C31" s="1092">
        <f>SUBTOTAL(9,C8:C30)</f>
        <v>808</v>
      </c>
      <c r="D31" s="1093">
        <f>SUBTOTAL(9,D8:D30)</f>
        <v>2088</v>
      </c>
    </row>
    <row r="32" spans="1:4" ht="7.5" customHeight="1"/>
    <row r="33" spans="1:1" ht="6" customHeight="1"/>
    <row r="34" spans="1:1">
      <c r="A34" s="440" t="str">
        <f>Criterios!A4</f>
        <v>Fecha Informe: 05 abr. 2022</v>
      </c>
    </row>
    <row r="39" spans="1:1">
      <c r="A39" s="463"/>
    </row>
  </sheetData>
  <sheetProtection algorithmName="SHA-512" hashValue="ZVzH5CDdunEho3P8F6ukO+vdLhMeaAEJerLwbglnASNSuYn4/SAB6aCFcGzs5ue4EydPkDyWZBeazj3HCvuQoQ==" saltValue="7sDoE71bgKYdXysgPZqo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ANDALUCIA</v>
      </c>
    </row>
    <row r="3" spans="1:11" ht="18.75" customHeight="1">
      <c r="A3" s="485" t="s">
        <v>165</v>
      </c>
      <c r="B3" s="440" t="str">
        <f>Criterios!A10 &amp;"  "&amp;Criterios!B10</f>
        <v>Provincias  MALAGA</v>
      </c>
    </row>
    <row r="4" spans="1:11" ht="10.5" customHeight="1" thickBot="1">
      <c r="B4" s="440" t="str">
        <f>Criterios!A11 &amp;"  "&amp;Criterios!B11</f>
        <v>Resumenes por Partidos Judiciales  ANTEQUERA</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0.38461538461538464</v>
      </c>
      <c r="C10" s="516">
        <f>IF(ISNUMBER((Datos!J10-Datos!T10)/Datos!T10),(Datos!J10-Datos!T10)/Datos!T10," - ")</f>
        <v>0.57894736842105265</v>
      </c>
      <c r="D10" s="516">
        <f>IF(ISNUMBER((Datos!K10-Datos!U10)/Datos!U10),(Datos!K10-Datos!U10)/Datos!U10," - ")</f>
        <v>2.0714285714285716</v>
      </c>
      <c r="E10" s="516">
        <f>IF(ISNUMBER((Datos!L10-Datos!V10)/Datos!V10),(Datos!L10-Datos!V10)/Datos!V10," - ")</f>
        <v>-0.55555555555555558</v>
      </c>
      <c r="F10" s="516">
        <f>IF(ISNUMBER((Datos!M10-Datos!W10)/Datos!W10),(Datos!M10-Datos!W10)/Datos!W10," - ")</f>
        <v>8.3333333333333339</v>
      </c>
      <c r="G10" s="517" t="str">
        <f>IF(ISNUMBER((Datos!N10-Datos!X10)/Datos!X10),(Datos!N10-Datos!X10)/Datos!X10," - ")</f>
        <v xml:space="preserve"> - </v>
      </c>
      <c r="H10" s="515">
        <f>IF(ISNUMBER(((NºAsuntos!G10/NºAsuntos!E10)-Datos!BD10)/Datos!BD10),((NºAsuntos!G10/NºAsuntos!E10)-Datos!BD10)/Datos!BD10," - ")</f>
        <v>0.94523809523809532</v>
      </c>
      <c r="I10" s="516">
        <f>IF(ISNUMBER(((NºAsuntos!I10/NºAsuntos!G10)-Datos!BE10)/Datos!BE10),((NºAsuntos!I10/NºAsuntos!G10)-Datos!BE10)/Datos!BE10," - ")</f>
        <v>-0.85529715762273895</v>
      </c>
      <c r="J10" s="522">
        <f>IF(ISNUMBER((('Resol  Asuntos'!D10/NºAsuntos!G10)-Datos!BF10)/Datos!BF10),(('Resol  Asuntos'!D10/NºAsuntos!G10)-Datos!BF10)/Datos!BF10," - ")</f>
        <v>2.0387596899224807</v>
      </c>
      <c r="K10" s="523">
        <f>IF(ISNUMBER((((NºAsuntos!C10+NºAsuntos!E10)/NºAsuntos!G10)-Datos!BG10)/Datos!BG10),(((NºAsuntos!C10+NºAsuntos!E10)/NºAsuntos!G10)-Datos!BG10)/Datos!BG10," - ")</f>
        <v>-0.51162790697674421</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0.37314597970335678</v>
      </c>
      <c r="C12" s="516">
        <f>IF(ISNUMBER(
   IF(J_V="SI",(Datos!J12-Datos!T12)/Datos!T12,(Datos!J12+Datos!Z12-(Datos!T12+Datos!AH12))/(Datos!T12+Datos!AH12))
     ),IF(J_V="SI",(Datos!J12-Datos!T12)/Datos!T12,(Datos!J12+Datos!Z12-(Datos!T12+Datos!AH12))/(Datos!T12+Datos!AH12))," - ")</f>
        <v>6.6427289048473961E-2</v>
      </c>
      <c r="D12" s="516">
        <f>IF(ISNUMBER(
   IF(J_V="SI",(Datos!K12-Datos!U12)/Datos!U12,(Datos!K12+Datos!AA12-(Datos!U12+Datos!AI12))/(Datos!U12+Datos!AI12))
     ),IF(J_V="SI",(Datos!K12-Datos!U12)/Datos!U12,(Datos!K12+Datos!AA12-(Datos!U12+Datos!AI12))/(Datos!U12+Datos!AI12))," - ")</f>
        <v>0.33865979381443301</v>
      </c>
      <c r="E12" s="516">
        <f>IF(ISNUMBER(
   IF(J_V="SI",(Datos!L12-Datos!V12)/Datos!V12,(Datos!L12+Datos!AB12-(Datos!V12+Datos!AJ12))/(Datos!V12+Datos!AJ12))
     ),IF(J_V="SI",(Datos!L12-Datos!V12)/Datos!V12,(Datos!L12+Datos!AB12-(Datos!V12+Datos!AJ12))/(Datos!V12+Datos!AJ12))," - ")</f>
        <v>-0.10346787947697555</v>
      </c>
      <c r="F12" s="516">
        <f>IF(ISNUMBER((Datos!M12-Datos!W12)/Datos!W12),(Datos!M12-Datos!W12)/Datos!W12," - ")</f>
        <v>0.34936708860759491</v>
      </c>
      <c r="G12" s="517">
        <f>IF(ISNUMBER((Datos!N12-Datos!X12)/Datos!X12),(Datos!N12-Datos!X12)/Datos!X12," - ")</f>
        <v>0.33687405159332323</v>
      </c>
      <c r="H12" s="515">
        <f>IF(ISNUMBER(((NºAsuntos!G12/NºAsuntos!E12)-Datos!BD12)/Datos!BD12),((NºAsuntos!G12/NºAsuntos!E12)-Datos!BD12)/Datos!BD12," - ")</f>
        <v>0.25527526120309624</v>
      </c>
      <c r="I12" s="516">
        <f>IF(ISNUMBER(((NºAsuntos!I12/NºAsuntos!G12)-Datos!BE12)/Datos!BE12),((NºAsuntos!I12/NºAsuntos!G12)-Datos!BE12)/Datos!BE12," - ")</f>
        <v>-0.33027635201591549</v>
      </c>
      <c r="J12" s="522">
        <f>IF(ISNUMBER((('Resol  Asuntos'!D12/NºAsuntos!G12)-Datos!BF12)/Datos!BF12),(('Resol  Asuntos'!D12/NºAsuntos!G12)-Datos!BF12)/Datos!BF12," - ")</f>
        <v>-0.39581272426512909</v>
      </c>
      <c r="K12" s="523">
        <f>IF(ISNUMBER((((NºAsuntos!C12+NºAsuntos!E12)/NºAsuntos!G12)-Datos!BG12)/Datos!BG12),(((NºAsuntos!C12+NºAsuntos!E12)/NºAsuntos!G12)-Datos!BG12)/Datos!BG12," - ")</f>
        <v>-0.11971778823209756</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0.37326120556414222</v>
      </c>
      <c r="C14" s="1155">
        <f>IF(ISNUMBER(
   IF(J_V="SI",(Datos!J14-Datos!T14)/Datos!T14,(Datos!J14+Datos!Z14-(Datos!T14+Datos!AH14))/(Datos!T14+Datos!AH14))
     ),IF(J_V="SI",(Datos!J14-Datos!T14)/Datos!T14,(Datos!J14+Datos!Z14-(Datos!T14+Datos!AH14))/(Datos!T14+Datos!AH14))," - ")</f>
        <v>7.0761014686248333E-2</v>
      </c>
      <c r="D14" s="1155">
        <f>IF(ISNUMBER(
   IF(J_V="SI",(Datos!K14-Datos!U14)/Datos!U14,(Datos!K14+Datos!AA14-(Datos!U14+Datos!AI14))/(Datos!U14+Datos!AI14))
     ),IF(J_V="SI",(Datos!K14-Datos!U14)/Datos!U14,(Datos!K14+Datos!AA14-(Datos!U14+Datos!AI14))/(Datos!U14+Datos!AI14))," - ")</f>
        <v>0.35107471852610028</v>
      </c>
      <c r="E14" s="1155">
        <f>IF(ISNUMBER(
   IF(J_V="SI",(Datos!L14-Datos!V14)/Datos!V14,(Datos!L14+Datos!AB14-(Datos!V14+Datos!AJ14))/(Datos!V14+Datos!AJ14))
     ),IF(J_V="SI",(Datos!L14-Datos!V14)/Datos!V14,(Datos!L14+Datos!AB14-(Datos!V14+Datos!AJ14))/(Datos!V14+Datos!AJ14))," - ")</f>
        <v>-0.1080472706809229</v>
      </c>
      <c r="F14" s="1156">
        <f>IF(ISNUMBER((Datos!M14-Datos!W14)/Datos!W14),(Datos!M14-Datos!W14)/Datos!W14," - ")</f>
        <v>0.40954773869346733</v>
      </c>
      <c r="G14" s="1157">
        <f>IF(ISNUMBER((Datos!N14-Datos!X14)/Datos!X14),(Datos!N14-Datos!X14)/Datos!X14," - ")</f>
        <v>0.34749620637329287</v>
      </c>
      <c r="H14" s="1157">
        <f>IF(ISNUMBER(((NºAsuntos!G14/NºAsuntos!E14)-Datos!BD14)/Datos!BD14),((NºAsuntos!G14/NºAsuntos!E14)-Datos!BD14)/Datos!BD14," - ")</f>
        <v>0.26178923213971228</v>
      </c>
      <c r="I14" s="1157">
        <f>IF(ISNUMBER(((NºAsuntos!I14/NºAsuntos!G14)-Datos!BE14)/Datos!BE14),((NºAsuntos!I14/NºAsuntos!G14)-Datos!BE14)/Datos!BE14," - ")</f>
        <v>-0.33981983595095588</v>
      </c>
      <c r="J14" s="1157">
        <f>IF(ISNUMBER((('Resol  Asuntos'!D14/NºAsuntos!G14)-Datos!BF14)/Datos!BF14),(('Resol  Asuntos'!D14/NºAsuntos!G14)-Datos!BF14)/Datos!BF14," - ")</f>
        <v>-0.37277190332326288</v>
      </c>
      <c r="K14" s="1157">
        <f>IF(ISNUMBER((((NºAsuntos!C14+NºAsuntos!E14)/NºAsuntos!G14)-Datos!BG14)/Datos!BG14),(((NºAsuntos!C14+NºAsuntos!E14)/NºAsuntos!G14)-Datos!BG14)/Datos!BG14," - ")</f>
        <v>-0.12565552446235873</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-0.12829845313921748</v>
      </c>
      <c r="C17" s="516">
        <f>IF(ISNUMBER(
   IF(D_I="SI",(Datos!J17-Datos!T17)/Datos!T17,(Datos!J17+Datos!AD17-(Datos!T17+Datos!AL17))/(Datos!T17+Datos!AL17))
     ),IF(D_I="SI",(Datos!J17-Datos!T17)/Datos!T17,(Datos!J17+Datos!AD17-(Datos!T17+Datos!AL17))/(Datos!T17+Datos!AL17))," - ")</f>
        <v>0.16901734104046243</v>
      </c>
      <c r="D17" s="516">
        <f>IF(ISNUMBER(
   IF(D_I="SI",(Datos!K17-Datos!U17)/Datos!U17,(Datos!K17+Datos!AE17-(Datos!U17+Datos!AM17))/(Datos!U17+Datos!AM17))
     ),IF(D_I="SI",(Datos!K17-Datos!U17)/Datos!U17,(Datos!K17+Datos!AE17-(Datos!U17+Datos!AM17))/(Datos!U17+Datos!AM17))," - ")</f>
        <v>0.23422584400465657</v>
      </c>
      <c r="E17" s="516">
        <f>IF(ISNUMBER(
   IF(D_I="SI",(Datos!L17-Datos!V17)/Datos!V17,(Datos!L17+Datos!AF17-(Datos!V17+Datos!AN17))/(Datos!V17+Datos!AN17))
     ),IF(D_I="SI",(Datos!L17-Datos!V17)/Datos!V17,(Datos!L17+Datos!AF17-(Datos!V17+Datos!AN17))/(Datos!V17+Datos!AN17))," - ")</f>
        <v>-0.25574112734864302</v>
      </c>
      <c r="F17" s="516">
        <f>IF(ISNUMBER((Datos!M17-Datos!W17)/Datos!W17),(Datos!M17-Datos!W17)/Datos!W17," - ")</f>
        <v>0.67003367003366998</v>
      </c>
      <c r="G17" s="517">
        <f>IF(ISNUMBER((Datos!N17-Datos!X17)/Datos!X17),(Datos!N17-Datos!X17)/Datos!X17," - ")</f>
        <v>0.16276923076923078</v>
      </c>
      <c r="H17" s="515">
        <f>IF(ISNUMBER(((NºAsuntos!G17/NºAsuntos!E17)-Datos!BD17)/Datos!BD17),((NºAsuntos!G17/NºAsuntos!E17)-Datos!BD17)/Datos!BD17," - ")</f>
        <v>5.5780612207306117E-2</v>
      </c>
      <c r="I17" s="516">
        <f>IF(ISNUMBER(((NºAsuntos!I17/NºAsuntos!G17)-Datos!BE17)/Datos!BE17),((NºAsuntos!I17/NºAsuntos!G17)-Datos!BE17)/Datos!BE17," - ")</f>
        <v>-0.39698323749526915</v>
      </c>
      <c r="J17" s="522">
        <f>IF(ISNUMBER((('Resol  Asuntos'!D17/NºAsuntos!G17)-Datos!BF17)/Datos!BF17),(('Resol  Asuntos'!D17/NºAsuntos!G17)-Datos!BF17)/Datos!BF17," - ")</f>
        <v>0.35310217181562203</v>
      </c>
      <c r="K17" s="523">
        <f>IF(ISNUMBER((((NºAsuntos!C17+NºAsuntos!E17)/NºAsuntos!G17)-Datos!BG17)/Datos!BG17),(((NºAsuntos!C17+NºAsuntos!E17)/NºAsuntos!G17)-Datos!BG17)/Datos!BG17," - ")</f>
        <v>-0.10164268833341951</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0.32142857142857145</v>
      </c>
      <c r="C18" s="516">
        <f>IF(ISNUMBER(
   IF(D_I="SI",(Datos!J18-Datos!T18)/Datos!T18,(Datos!J18+Datos!AD18-(Datos!T18+Datos!AL18))/(Datos!T18+Datos!AL18))
     ),IF(D_I="SI",(Datos!J18-Datos!T18)/Datos!T18,(Datos!J18+Datos!AD18-(Datos!T18+Datos!AL18))/(Datos!T18+Datos!AL18))," - ")</f>
        <v>-4.6511627906976744E-3</v>
      </c>
      <c r="D18" s="516">
        <f>IF(ISNUMBER(
   IF(D_I="SI",(Datos!K18-Datos!U18)/Datos!U18,(Datos!K18+Datos!AE18-(Datos!U18+Datos!AM18))/(Datos!U18+Datos!AM18))
     ),IF(D_I="SI",(Datos!K18-Datos!U18)/Datos!U18,(Datos!K18+Datos!AE18-(Datos!U18+Datos!AM18))/(Datos!U18+Datos!AM18))," - ")</f>
        <v>5.4187192118226604E-2</v>
      </c>
      <c r="E18" s="516">
        <f>IF(ISNUMBER(
   IF(D_I="SI",(Datos!L18-Datos!V18)/Datos!V18,(Datos!L18+Datos!AF18-(Datos!V18+Datos!AN18))/(Datos!V18+Datos!AN18))
     ),IF(D_I="SI",(Datos!L18-Datos!V18)/Datos!V18,(Datos!L18+Datos!AF18-(Datos!V18+Datos!AN18))/(Datos!V18+Datos!AN18))," - ")</f>
        <v>0</v>
      </c>
      <c r="F18" s="516">
        <f>IF(ISNUMBER((Datos!M18-Datos!W18)/Datos!W18),(Datos!M18-Datos!W18)/Datos!W18," - ")</f>
        <v>0.7142857142857143</v>
      </c>
      <c r="G18" s="517">
        <f>IF(ISNUMBER((Datos!N18-Datos!X18)/Datos!X18),(Datos!N18-Datos!X18)/Datos!X18," - ")</f>
        <v>-0.16949152542372881</v>
      </c>
      <c r="H18" s="515">
        <f>IF(ISNUMBER(((NºAsuntos!G18/NºAsuntos!E18)-Datos!BD18)/Datos!BD18),((NºAsuntos!G18/NºAsuntos!E18)-Datos!BD18)/Datos!BD18," - ")</f>
        <v>5.9113300492610897E-2</v>
      </c>
      <c r="I18" s="516">
        <f>IF(ISNUMBER(((NºAsuntos!I18/NºAsuntos!G18)-Datos!BE18)/Datos!BE18),((NºAsuntos!I18/NºAsuntos!G18)-Datos!BE18)/Datos!BE18," - ")</f>
        <v>-5.1401869158878552E-2</v>
      </c>
      <c r="J18" s="522">
        <f>IF(ISNUMBER((('Resol  Asuntos'!D18/NºAsuntos!G18)-Datos!BF18)/Datos!BF18),(('Resol  Asuntos'!D18/NºAsuntos!G18)-Datos!BF18)/Datos!BF18," - ")</f>
        <v>0.62616822429906538</v>
      </c>
      <c r="K18" s="523">
        <f>IF(ISNUMBER((((NºAsuntos!C18+NºAsuntos!E18)/NºAsuntos!G18)-Datos!BG18)/Datos!BG18),(((NºAsuntos!C18+NºAsuntos!E18)/NºAsuntos!G18)-Datos!BG18)/Datos!BG18," - ")</f>
        <v>8.1042866503430577E-3</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-0.10649350649350649</v>
      </c>
      <c r="C23" s="1155">
        <f>IF(ISNUMBER(
   IF(Criterios!B14="SI",(Datos!J23-Datos!T23)/Datos!T23,(Datos!J23+Datos!AD23-(Datos!T23+Datos!AL23))/(Datos!T23+Datos!AL23))
     ),IF(Criterios!B14="SI",(Datos!J23-Datos!T23)/Datos!T23,(Datos!J23+Datos!AD23-(Datos!T23+Datos!AL23))/(Datos!T23+Datos!AL23))," - ")</f>
        <v>0.16079295154185022</v>
      </c>
      <c r="D23" s="1155">
        <f>IF(ISNUMBER(
   IF(Criterios!B14="SI",(Datos!K23-Datos!U23)/Datos!U23,(Datos!K23+Datos!AE23-(Datos!U23+Datos!AM23))/(Datos!U23+Datos!AM23))
     ),IF(Criterios!B14="SI",(Datos!K23-Datos!U23)/Datos!U23,(Datos!K23+Datos!AE23-(Datos!U23+Datos!AM23))/(Datos!U23+Datos!AM23))," - ")</f>
        <v>0.22610048910626945</v>
      </c>
      <c r="E23" s="1155">
        <f>IF(ISNUMBER(
   IF(Criterios!B14="SI",(Datos!L23-Datos!V23)/Datos!V23,(Datos!L23+Datos!AF23-(Datos!V23+Datos!AN23))/(Datos!V23+Datos!AN23))
     ),IF(Criterios!B14="SI",(Datos!L23-Datos!V23)/Datos!V23,(Datos!L23+Datos!AF23-(Datos!V23+Datos!AN23))/(Datos!V23+Datos!AN23))," - ")</f>
        <v>-0.2374031007751938</v>
      </c>
      <c r="F23" s="1156">
        <f>IF(ISNUMBER((Datos!M23-Datos!W23)/Datos!W23),(Datos!M23-Datos!W23)/Datos!W23," - ")</f>
        <v>0.67202572347266876</v>
      </c>
      <c r="G23" s="1157">
        <f>IF(ISNUMBER((Datos!N23-Datos!X23)/Datos!X23),(Datos!N23-Datos!X23)/Datos!X23," - ")</f>
        <v>0.14560840385176541</v>
      </c>
      <c r="H23" s="1157">
        <f>IF(ISNUMBER(((NºAsuntos!G23/NºAsuntos!E23)-Datos!BD23)/Datos!BD23),((NºAsuntos!G23/NºAsuntos!E23)-Datos!BD23)/Datos!BD23," - ")</f>
        <v>5.6261142417924639E-2</v>
      </c>
      <c r="I23" s="1157">
        <f>IF(ISNUMBER(((NºAsuntos!I23/NºAsuntos!G23)-Datos!BE23)/Datos!BE23),((NºAsuntos!I23/NºAsuntos!G23)-Datos!BE23)/Datos!BE23," - ")</f>
        <v>-0.37803067040558869</v>
      </c>
      <c r="J23" s="1157">
        <f>IF(ISNUMBER((('Resol  Asuntos'!D23/NºAsuntos!G23)-Datos!BF23)/Datos!BF23),(('Resol  Asuntos'!D23/NºAsuntos!G23)-Datos!BF23)/Datos!BF23," - ")</f>
        <v>0.36369387201814396</v>
      </c>
      <c r="K23" s="1157">
        <f>IF(ISNUMBER((((NºAsuntos!C23+NºAsuntos!E23)/NºAsuntos!G23)-Datos!BG23)/Datos!BG23),(((NºAsuntos!C23+NºAsuntos!E23)/NºAsuntos!G23)-Datos!BG23)/Datos!BG23," - ")</f>
        <v>-9.747632166085482E-2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0.14699877501020825</v>
      </c>
      <c r="C31" s="1095">
        <f>IF(ISNUMBER(
   IF(J_V="SI",(Datos!J31-Datos!T31)/Datos!T31,(Datos!J31+Datos!Z31-(Datos!T31+Datos!AH31))/(Datos!T31+Datos!AH31))
     ),IF(J_V="SI",(Datos!J31-Datos!T31)/Datos!T31,(Datos!J31+Datos!Z31-(Datos!T31+Datos!AH31))/(Datos!T31+Datos!AH31))," - ")</f>
        <v>0.13098570797112127</v>
      </c>
      <c r="D31" s="1095">
        <f>IF(ISNUMBER(
   IF(J_V="SI",(Datos!K31-Datos!U31)/Datos!U31,(Datos!K31+Datos!AA31-(Datos!U31+Datos!AI31))/(Datos!U31+Datos!AI31))
     ),IF(J_V="SI",(Datos!K31-Datos!U31)/Datos!U31,(Datos!K31+Datos!AA31-(Datos!U31+Datos!AI31))/(Datos!U31+Datos!AI31))," - ")</f>
        <v>0.26394916305021698</v>
      </c>
      <c r="E31" s="1095">
        <f>IF(ISNUMBER(
   IF(J_V="SI",(Datos!L31-Datos!V31)/Datos!V31,(Datos!L31+Datos!AB31-(Datos!V31+Datos!AJ31))/(Datos!V31+Datos!AJ31))
     ),IF(J_V="SI",(Datos!L31-Datos!V31)/Datos!V31,(Datos!L31+Datos!AB31-(Datos!V31+Datos!AJ31))/(Datos!V31+Datos!AJ31))," - ")</f>
        <v>-0.15557137771448915</v>
      </c>
      <c r="F31" s="1096">
        <f>IF(ISNUMBER((Datos!M31-Datos!W31)/Datos!W31),(Datos!M31-Datos!W31)/Datos!W31," - ")</f>
        <v>0.52468265162200278</v>
      </c>
      <c r="G31" s="1097">
        <f>IF(ISNUMBER((Datos!N31-Datos!X31)/Datos!X31),(Datos!N31-Datos!X31)/Datos!X31," - ")</f>
        <v>0.17816935878609888</v>
      </c>
      <c r="H31" s="1098">
        <f>IF(ISNUMBER((Tasas!B31-Datos!BD31)/Datos!BD31),(Tasas!B31-Datos!BD31)/Datos!BD31," - ")</f>
        <v>0.11756422220190492</v>
      </c>
      <c r="I31" s="1099">
        <f>IF(ISNUMBER((Tasas!C31-Datos!BE31)/Datos!BE31),(Tasas!C31-Datos!BE31)/Datos!BE31," - ")</f>
        <v>-0.33191251122181287</v>
      </c>
      <c r="J31" s="1100">
        <f>IF(ISNUMBER((Tasas!D31-Datos!BF31)/Datos!BF31),(Tasas!D31-Datos!BF31)/Datos!BF31," - ")</f>
        <v>-0.12101139093980133</v>
      </c>
      <c r="K31" s="1100">
        <f>IF(ISNUMBER((Tasas!E31-Datos!BG31)/Datos!BG31),(Tasas!E31-Datos!BG31)/Datos!BG31," - ")</f>
        <v>-0.1018375301614798</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p8xwkqb+dEv5GsyUZefJHTrKlaVsKs2o2kkRy2b6foGHlkTDgIfAsiorH6yIvIHofLtViBjp2hs5ua2yT60eBw==" saltValue="Pf/jqrnXU17s0VM1v1yk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ANDALUCIA</v>
      </c>
    </row>
    <row r="3" spans="1:7" ht="19.5">
      <c r="A3" s="492" t="s">
        <v>17</v>
      </c>
      <c r="B3" s="440" t="str">
        <f>Criterios!A10 &amp;"  "&amp;Criterios!B10</f>
        <v>Provincias  MALAGA</v>
      </c>
    </row>
    <row r="4" spans="1:7" ht="11.25" customHeight="1" thickBot="1">
      <c r="B4" s="440" t="str">
        <f>Criterios!A11 &amp;"  "&amp;Criterios!B11</f>
        <v>Resumenes por Partidos Judiciales  ANTEQUERA</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1.4333333333333333</v>
      </c>
      <c r="C10" s="499">
        <f>IF(ISNUMBER(NºAsuntos!I10/NºAsuntos!G10),NºAsuntos!I10/NºAsuntos!G10," - ")</f>
        <v>0.18604651162790697</v>
      </c>
      <c r="D10" s="500">
        <f>IF(ISNUMBER('Resol  Asuntos'!D10/NºAsuntos!G10),'Resol  Asuntos'!D10/NºAsuntos!G10," - ")</f>
        <v>0.65116279069767447</v>
      </c>
      <c r="E10" s="501">
        <f>IF(ISNUMBER((NºAsuntos!C10+NºAsuntos!E10)/NºAsuntos!G10),(NºAsuntos!C10+NºAsuntos!E10)/NºAsuntos!G10," - ")</f>
        <v>1.1162790697674418</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1.093013468013468</v>
      </c>
      <c r="C12" s="499">
        <f>IF(ISNUMBER(NºAsuntos!I12/NºAsuntos!G12),NºAsuntos!I12/NºAsuntos!G12," - ")</f>
        <v>0.60723912206391994</v>
      </c>
      <c r="D12" s="500">
        <f>IF(ISNUMBER('Resol  Asuntos'!D12/NºAsuntos!G12),'Resol  Asuntos'!D12/NºAsuntos!G12," - ")</f>
        <v>0.2052368117058144</v>
      </c>
      <c r="E12" s="501">
        <f>IF(ISNUMBER((NºAsuntos!C12+NºAsuntos!E12)/NºAsuntos!G12),(NºAsuntos!C12+NºAsuntos!E12)/NºAsuntos!G12," - ")</f>
        <v>1.5922217943781287</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1.0972568578553616</v>
      </c>
      <c r="C14" s="1159">
        <f>IF(ISNUMBER(NºAsuntos!I14/NºAsuntos!G14),NºAsuntos!I14/NºAsuntos!G14," - ")</f>
        <v>0.60037878787878785</v>
      </c>
      <c r="D14" s="1160">
        <f>IF(ISNUMBER('Resol  Asuntos'!D14/NºAsuntos!G14),'Resol  Asuntos'!D14/NºAsuntos!G14," - ")</f>
        <v>0.21249999999999999</v>
      </c>
      <c r="E14" s="1161">
        <f>IF(ISNUMBER((NºAsuntos!C14+NºAsuntos!E14)/NºAsuntos!G14),(NºAsuntos!C14+NºAsuntos!E14)/NºAsuntos!G14," - ")</f>
        <v>1.584469696969697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1.0484572784810127</v>
      </c>
      <c r="C17" s="499">
        <f>IF(ISNUMBER(NºAsuntos!I17/NºAsuntos!G17),NºAsuntos!I17/NºAsuntos!G17," - ")</f>
        <v>0.13450292397660818</v>
      </c>
      <c r="D17" s="500">
        <f>IF(ISNUMBER('Resol  Asuntos'!D17/NºAsuntos!G17),'Resol  Asuntos'!D17/NºAsuntos!G17," - ")</f>
        <v>9.3567251461988299E-2</v>
      </c>
      <c r="E17" s="501">
        <f>IF(ISNUMBER((NºAsuntos!C17+NºAsuntos!E17)/NºAsuntos!G17),(NºAsuntos!C17+NºAsuntos!E17)/NºAsuntos!G17," - ")</f>
        <v>1.1345029239766082</v>
      </c>
      <c r="G17" s="524"/>
    </row>
    <row r="18" spans="1:7">
      <c r="A18" s="451" t="str">
        <f>Datos!A18</f>
        <v>Jdos. Violencia contra la mujer</v>
      </c>
      <c r="B18" s="498">
        <f>IF(ISNUMBER(NºAsuntos!G18/NºAsuntos!E18),NºAsuntos!G18/NºAsuntos!E18," - ")</f>
        <v>1</v>
      </c>
      <c r="C18" s="499">
        <f>IF(ISNUMBER(NºAsuntos!I18/NºAsuntos!G18),NºAsuntos!I18/NºAsuntos!G18," - ")</f>
        <v>0.34579439252336447</v>
      </c>
      <c r="D18" s="500">
        <f>IF(ISNUMBER('Resol  Asuntos'!D18/NºAsuntos!G18),'Resol  Asuntos'!D18/NºAsuntos!G18," - ")</f>
        <v>0.11214953271028037</v>
      </c>
      <c r="E18" s="501">
        <f>IF(ISNUMBER((NºAsuntos!C18+NºAsuntos!E18)/NºAsuntos!G18),(NºAsuntos!C18+NºAsuntos!E18)/NºAsuntos!G18," - ")</f>
        <v>1.3457943925233644</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1.0464895635673623</v>
      </c>
      <c r="C23" s="1159">
        <f>IF(ISNUMBER(NºAsuntos!I23/NºAsuntos!G23),NºAsuntos!I23/NºAsuntos!G23," - ")</f>
        <v>0.14270172257479602</v>
      </c>
      <c r="D23" s="1162">
        <f>IF(ISNUMBER('Resol  Asuntos'!D23/NºAsuntos!G23),'Resol  Asuntos'!D23/NºAsuntos!G23," - ")</f>
        <v>9.4288304623753399E-2</v>
      </c>
      <c r="E23" s="1161">
        <f>IF(ISNUMBER((NºAsuntos!C23+NºAsuntos!E23)/NºAsuntos!G23),(NºAsuntos!C23+NºAsuntos!E23)/NºAsuntos!G23," - ")</f>
        <v>1.142701722574796</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1.062402292860865</v>
      </c>
      <c r="C31" s="1102">
        <f>IF(ISNUMBER(NºAsuntos!I31/NºAsuntos!G31),NºAsuntos!I31/NºAsuntos!G31," - ")</f>
        <v>0.29086450030656041</v>
      </c>
      <c r="D31" s="1103">
        <f>IF(ISNUMBER('Resol  Asuntos'!D31/NºAsuntos!G31),'Resol  Asuntos'!D31/NºAsuntos!G31," - ")</f>
        <v>0.1325567136725935</v>
      </c>
      <c r="E31" s="1104">
        <f>IF(ISNUMBER((NºAsuntos!C31+NºAsuntos!E31)/NºAsuntos!G31),(NºAsuntos!C31+NºAsuntos!E31)/NºAsuntos!G31," - ")</f>
        <v>1.2857142857142858</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gO7bWfZ4ozccnK1hGws/75vWvCmXyzBLc+/bWmdJjXMY3KcSP5oARmRi6st4kddq1MQzyXQH+7e+wGOPBmFlUw==" saltValue="1beVos3I4+LEhAhAk46M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ANTEQUERA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21</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43</v>
      </c>
      <c r="X10" s="240">
        <f>IF(ISNUMBER(Datos!Q10),Datos!Q10," - ")</f>
        <v>4</v>
      </c>
      <c r="Y10" s="374">
        <f t="shared" ref="Y10:Y13" si="0">SUM(W10:X10)</f>
        <v>47</v>
      </c>
      <c r="Z10" s="375" t="str">
        <f>IF(ISNUMBER(Datos!CC10),Datos!CC10," - ")</f>
        <v xml:space="preserve"> - </v>
      </c>
      <c r="AA10" s="372">
        <f>IF(ISNUMBER(Datos!L10),Datos!L10,"-")</f>
        <v>8</v>
      </c>
      <c r="AB10" s="374">
        <f>IF(ISNUMBER(Datos!R10),Datos!R10," - ")</f>
        <v>4</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1.4333333333333333</v>
      </c>
      <c r="AM10" s="284">
        <f>IF(ISNUMBER(((NºAsuntos!I10/NºAsuntos!G10)*11)/factor_trimestre),((NºAsuntos!I10/NºAsuntos!G10)*11)/factor_trimestre," - ")</f>
        <v>2.0465116279069768</v>
      </c>
      <c r="AN10" s="267">
        <f>IF(ISNUMBER('Resol  Asuntos'!D10/NºAsuntos!G10),'Resol  Asuntos'!D10/NºAsuntos!G10," - ")</f>
        <v>0.65116279069767447</v>
      </c>
      <c r="AO10" s="268">
        <f>IF(ISNUMBER((NºAsuntos!C10+NºAsuntos!E10)/NºAsuntos!G10),(NºAsuntos!C10+NºAsuntos!E10)/NºAsuntos!G10," - ")</f>
        <v>1.1162790697674418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324</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551</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690</v>
      </c>
      <c r="Y12" s="374">
        <f t="shared" si="0"/>
        <v>690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533</v>
      </c>
      <c r="AJ12" s="243" t="str">
        <f>IF(ISNUMBER(Datos!BW12),Datos!BW12," - ")</f>
        <v xml:space="preserve"> - </v>
      </c>
      <c r="AK12" s="242" t="str">
        <f>IF(ISNUMBER(Datos!BX12),Datos!BX12," - ")</f>
        <v xml:space="preserve"> - </v>
      </c>
      <c r="AL12" s="266">
        <f>IF(ISNUMBER(NºAsuntos!G12/NºAsuntos!E12),NºAsuntos!G12/NºAsuntos!E12," - ")</f>
        <v>1.093013468013468</v>
      </c>
      <c r="AM12" s="284">
        <f>IF(ISNUMBER(((NºAsuntos!I12/NºAsuntos!G12)*11)/factor_trimestre),((NºAsuntos!I12/NºAsuntos!G12)*11)/factor_trimestre," - ")</f>
        <v>6.6796303427031196</v>
      </c>
      <c r="AN12" s="267">
        <f>IF(ISNUMBER('Resol  Asuntos'!D12/NºAsuntos!G12),'Resol  Asuntos'!D12/NºAsuntos!G12," - ")</f>
        <v>0.2052368117058144</v>
      </c>
      <c r="AO12" s="268">
        <f>IF(ISNUMBER((NºAsuntos!C12+NºAsuntos!E12)/NºAsuntos!G12),(NºAsuntos!C12+NºAsuntos!E12)/NºAsuntos!G12," - ")</f>
        <v>1.5922217943781287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21</v>
      </c>
      <c r="G14" s="1166">
        <f t="shared" si="5"/>
        <v>18</v>
      </c>
      <c r="H14" s="1165">
        <f t="shared" si="5"/>
        <v>0</v>
      </c>
      <c r="I14" s="1167">
        <f t="shared" si="5"/>
        <v>0</v>
      </c>
      <c r="J14" s="1167">
        <f t="shared" si="5"/>
        <v>0</v>
      </c>
      <c r="K14" s="1167">
        <f t="shared" si="5"/>
        <v>0</v>
      </c>
      <c r="L14" s="1167">
        <f t="shared" si="5"/>
        <v>555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43</v>
      </c>
      <c r="X14" s="1167">
        <f t="shared" si="6"/>
        <v>694</v>
      </c>
      <c r="Y14" s="1168">
        <f t="shared" si="6"/>
        <v>737</v>
      </c>
      <c r="Z14" s="1168">
        <f t="shared" si="6"/>
        <v>0</v>
      </c>
      <c r="AA14" s="1168">
        <f t="shared" si="6"/>
        <v>8</v>
      </c>
      <c r="AB14" s="1168">
        <f t="shared" si="6"/>
        <v>1846</v>
      </c>
      <c r="AC14" s="1168">
        <f t="shared" si="6"/>
        <v>12</v>
      </c>
      <c r="AD14" s="1168">
        <f t="shared" si="6"/>
        <v>0</v>
      </c>
      <c r="AE14" s="1172">
        <f t="shared" si="6"/>
        <v>0</v>
      </c>
      <c r="AF14" s="1165">
        <f t="shared" si="6"/>
        <v>0</v>
      </c>
      <c r="AG14" s="1173">
        <f t="shared" si="6"/>
        <v>0</v>
      </c>
      <c r="AH14" s="1170">
        <f t="shared" si="6"/>
        <v>0</v>
      </c>
      <c r="AI14" s="1165">
        <f t="shared" si="6"/>
        <v>561</v>
      </c>
      <c r="AJ14" s="1167">
        <f t="shared" si="6"/>
        <v>0</v>
      </c>
      <c r="AK14" s="1170">
        <f>SUBTOTAL(9,AK9:AK13)</f>
        <v>0</v>
      </c>
      <c r="AL14" s="1174">
        <f>IF(ISNUMBER(NºAsuntos!G14/NºAsuntos!E14),NºAsuntos!G14/NºAsuntos!E14," - ")</f>
        <v>1.0972568578553616</v>
      </c>
      <c r="AM14" s="1174">
        <f>IF(ISNUMBER(((NºAsuntos!I14/NºAsuntos!G14)*11)/factor_trimestre),((NºAsuntos!I14/NºAsuntos!G14)*11)/factor_trimestre," - ")</f>
        <v>6.6041666666666661</v>
      </c>
      <c r="AN14" s="1175">
        <f>IF(ISNUMBER('Resol  Asuntos'!D14/NºAsuntos!G14),'Resol  Asuntos'!D14/NºAsuntos!G14," - ")</f>
        <v>0.21249999999999999</v>
      </c>
      <c r="AO14" s="1176">
        <f>IF(ISNUMBER((NºAsuntos!C14+NºAsuntos!E14)/NºAsuntos!G14),(NºAsuntos!C14+NºAsuntos!E14)/NºAsuntos!G14," - ")</f>
        <v>1.584469696969697</v>
      </c>
      <c r="AP14" s="1177" t="str">
        <f t="shared" si="2"/>
        <v xml:space="preserve"> - </v>
      </c>
      <c r="AQ14" s="1177">
        <f>IF(ISNUMBER((H14-W14+K14)/(F14)),(H14-W14+K14)/(F14)," - ")</f>
        <v>-2.0476190476190474</v>
      </c>
      <c r="AR14" s="1178">
        <f>IF(ISNUMBER((Datos!P14-Datos!Q14)/(Datos!R14-Datos!P14+Datos!Q14)),(Datos!P14-Datos!Q14)/(Datos!R14-Datos!P14+Datos!Q14)," - ")</f>
        <v>-7.0025188916876577E-2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515</v>
      </c>
      <c r="C17" s="173" t="str">
        <f>Datos!A17</f>
        <v xml:space="preserve">Jdos. 1ª Instª. e Instr.                        </v>
      </c>
      <c r="D17" s="173"/>
      <c r="E17" s="290">
        <f>IF(ISNUMBER(Datos!AQ17),Datos!AQ17," - ")</f>
        <v>3</v>
      </c>
      <c r="F17" s="239">
        <f>IF(ISNUMBER(AA17+W17-Datos!J17-K17),AA17+W17-Datos!J17-K17," - ")</f>
        <v>958</v>
      </c>
      <c r="G17" s="373">
        <f>IF(ISNUMBER(IF(D_I="SI",Datos!I17,Datos!I17+Datos!AC17)),IF(D_I="SI",Datos!I17,Datos!I17+Datos!AC17)," - ")</f>
        <v>958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199</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5301</v>
      </c>
      <c r="X17" s="240">
        <f>IF(ISNUMBER(Datos!Q17),Datos!Q17," - ")</f>
        <v>112</v>
      </c>
      <c r="Y17" s="374">
        <f t="shared" ref="Y17:Y22" si="9">SUM(W17:X17)</f>
        <v>5413</v>
      </c>
      <c r="Z17" s="375" t="str">
        <f>IF(ISNUMBER(Datos!CC17),Datos!CC17," - ")</f>
        <v xml:space="preserve"> - </v>
      </c>
      <c r="AA17" s="372">
        <f>IF(ISNUMBER(IF(D_I="SI",Datos!L17,Datos!L17+Datos!AF17)),IF(D_I="SI",Datos!L17,Datos!L17+Datos!AF17)," - ")</f>
        <v>713</v>
      </c>
      <c r="AB17" s="374">
        <f>IF(ISNUMBER(Datos!R17),Datos!R17," - ")</f>
        <v>242</v>
      </c>
      <c r="AC17" s="374">
        <f t="shared" si="8"/>
        <v>955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496</v>
      </c>
      <c r="AJ17" s="245" t="str">
        <f>IF(ISNUMBER(Datos!BW17),Datos!BW17," - ")</f>
        <v xml:space="preserve"> - </v>
      </c>
      <c r="AK17" s="246" t="str">
        <f>IF(ISNUMBER(Datos!BX17),Datos!BX17," - ")</f>
        <v xml:space="preserve"> - </v>
      </c>
      <c r="AL17" s="266">
        <f>IF(ISNUMBER(NºAsuntos!G17/NºAsuntos!E17),NºAsuntos!G17/NºAsuntos!E17," - ")</f>
        <v>1.0484572784810127</v>
      </c>
      <c r="AM17" s="284">
        <f>IF(ISNUMBER(((NºAsuntos!I17/NºAsuntos!G17)*11)/factor_trimestre),((NºAsuntos!I17/NºAsuntos!G17)*11)/factor_trimestre," - ")</f>
        <v>1.4795321637426899</v>
      </c>
      <c r="AN17" s="267">
        <f>IF(ISNUMBER('Resol  Asuntos'!D17/NºAsuntos!G17),'Resol  Asuntos'!D17/NºAsuntos!G17," - ")</f>
        <v>9.3567251461988299E-2</v>
      </c>
      <c r="AO17" s="268">
        <f>IF(ISNUMBER((NºAsuntos!C17+NºAsuntos!E17)/NºAsuntos!G17),(NºAsuntos!C17+NºAsuntos!E17)/NºAsuntos!G17," - ")</f>
        <v>1.1345029239766082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214</v>
      </c>
      <c r="X18" s="240">
        <f>IF(ISNUMBER(Datos!Q18),Datos!Q18," - ")</f>
        <v>2</v>
      </c>
      <c r="Y18" s="374">
        <f t="shared" si="9"/>
        <v>216</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3.8037383177570092</v>
      </c>
      <c r="AN18" s="267">
        <f>IF(ISNUMBER('Resol  Asuntos'!D18/NºAsuntos!G18),'Resol  Asuntos'!D18/NºAsuntos!G18," - ")</f>
        <v>0.11214953271028037</v>
      </c>
      <c r="AO18" s="268">
        <f>IF(ISNUMBER((NºAsuntos!C18+NºAsuntos!E18)/NºAsuntos!G18),(NºAsuntos!C18+NºAsuntos!E18)/NºAsuntos!G18," - ")</f>
        <v>1.3457943925233644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958</v>
      </c>
      <c r="G23" s="1166">
        <f>SUBTOTAL(9,G16:G22)</f>
        <v>1032</v>
      </c>
      <c r="H23" s="1165">
        <f t="shared" ref="H23:O23" si="13">SUBTOTAL(9,H15:H22)</f>
        <v>0</v>
      </c>
      <c r="I23" s="1167">
        <f t="shared" si="13"/>
        <v>0</v>
      </c>
      <c r="J23" s="1167">
        <f t="shared" si="13"/>
        <v>0</v>
      </c>
      <c r="K23" s="1167">
        <f t="shared" si="13"/>
        <v>0</v>
      </c>
      <c r="L23" s="1167">
        <f t="shared" si="13"/>
        <v>199</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5515</v>
      </c>
      <c r="X23" s="1167">
        <f t="shared" si="14"/>
        <v>114</v>
      </c>
      <c r="Y23" s="1168">
        <f t="shared" si="14"/>
        <v>5629</v>
      </c>
      <c r="Z23" s="1168">
        <f t="shared" si="14"/>
        <v>0</v>
      </c>
      <c r="AA23" s="1168">
        <f t="shared" si="14"/>
        <v>787</v>
      </c>
      <c r="AB23" s="1168">
        <f t="shared" si="14"/>
        <v>242</v>
      </c>
      <c r="AC23" s="1168">
        <f t="shared" si="14"/>
        <v>1029</v>
      </c>
      <c r="AD23" s="1168">
        <f t="shared" si="14"/>
        <v>0</v>
      </c>
      <c r="AE23" s="1172">
        <f t="shared" si="14"/>
        <v>0</v>
      </c>
      <c r="AF23" s="1165">
        <f t="shared" si="14"/>
        <v>0</v>
      </c>
      <c r="AG23" s="1173">
        <f t="shared" si="14"/>
        <v>0</v>
      </c>
      <c r="AH23" s="1170">
        <f t="shared" si="14"/>
        <v>0</v>
      </c>
      <c r="AI23" s="1165">
        <f t="shared" si="14"/>
        <v>520</v>
      </c>
      <c r="AJ23" s="1167">
        <f t="shared" si="14"/>
        <v>0</v>
      </c>
      <c r="AK23" s="1170">
        <f t="shared" si="14"/>
        <v>0</v>
      </c>
      <c r="AL23" s="1174">
        <f>IF(ISNUMBER(NºAsuntos!G23/NºAsuntos!E23),NºAsuntos!G23/NºAsuntos!E23," - ")</f>
        <v>1.0464895635673623</v>
      </c>
      <c r="AM23" s="1174">
        <f>IF(ISNUMBER(((NºAsuntos!I23/NºAsuntos!G23)*11)/factor_trimestre),((NºAsuntos!I23/NºAsuntos!G23)*11)/factor_trimestre," - ")</f>
        <v>1.5697189483227563</v>
      </c>
      <c r="AN23" s="1175">
        <f>IF(ISNUMBER('Resol  Asuntos'!D23/NºAsuntos!G23),'Resol  Asuntos'!D23/NºAsuntos!G23," - ")</f>
        <v>9.4288304623753399E-2</v>
      </c>
      <c r="AO23" s="1176">
        <f>IF(ISNUMBER((NºAsuntos!C23+NºAsuntos!E23)/NºAsuntos!G23),(NºAsuntos!C23+NºAsuntos!E23)/NºAsuntos!G23," - ")</f>
        <v>1.142701722574796</v>
      </c>
      <c r="AP23" s="1177" t="str">
        <f t="shared" si="2"/>
        <v xml:space="preserve"> - </v>
      </c>
      <c r="AQ23" s="1177">
        <f>IF(ISNUMBER((H23-W23+K23)/(F23)),(H23-W23+K23)/(F23)," - ")</f>
        <v>-5.7567849686847596</v>
      </c>
      <c r="AR23" s="1178">
        <f>IF(ISNUMBER((Datos!P23-Datos!Q23)/(Datos!R23-Datos!P23+Datos!Q23)),(Datos!P23-Datos!Q23)/(Datos!R23-Datos!P23+Datos!Q23)," - ")</f>
        <v>0.54140127388535031</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6</v>
      </c>
      <c r="F31" s="1120">
        <f t="shared" si="20"/>
        <v>979</v>
      </c>
      <c r="G31" s="1121">
        <f t="shared" si="20"/>
        <v>1050</v>
      </c>
      <c r="H31" s="1120">
        <f t="shared" si="20"/>
        <v>0</v>
      </c>
      <c r="I31" s="1122">
        <f t="shared" si="20"/>
        <v>0</v>
      </c>
      <c r="J31" s="1122">
        <f t="shared" si="20"/>
        <v>0</v>
      </c>
      <c r="K31" s="1183">
        <f t="shared" si="20"/>
        <v>0</v>
      </c>
      <c r="L31" s="1122">
        <f t="shared" si="20"/>
        <v>754</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5558</v>
      </c>
      <c r="X31" s="1121">
        <f t="shared" si="21"/>
        <v>808</v>
      </c>
      <c r="Y31" s="1128">
        <f t="shared" si="21"/>
        <v>6366</v>
      </c>
      <c r="Z31" s="1128">
        <f t="shared" si="21"/>
        <v>0</v>
      </c>
      <c r="AA31" s="1128">
        <f t="shared" si="21"/>
        <v>795</v>
      </c>
      <c r="AB31" s="1128">
        <f t="shared" si="21"/>
        <v>2088</v>
      </c>
      <c r="AC31" s="1128">
        <f t="shared" si="21"/>
        <v>1041</v>
      </c>
      <c r="AD31" s="1128">
        <f t="shared" si="21"/>
        <v>0</v>
      </c>
      <c r="AE31" s="1130">
        <f t="shared" si="21"/>
        <v>0</v>
      </c>
      <c r="AF31" s="1131">
        <f t="shared" si="21"/>
        <v>0</v>
      </c>
      <c r="AG31" s="1132">
        <f t="shared" si="21"/>
        <v>0</v>
      </c>
      <c r="AH31" s="1130">
        <f t="shared" si="21"/>
        <v>0</v>
      </c>
      <c r="AI31" s="1120">
        <f t="shared" si="21"/>
        <v>1081</v>
      </c>
      <c r="AJ31" s="1120">
        <f t="shared" si="21"/>
        <v>0</v>
      </c>
      <c r="AK31" s="1130">
        <f t="shared" si="21"/>
        <v>0</v>
      </c>
      <c r="AL31" s="1186">
        <f>IF(ISNUMBER(NºAsuntos!G31/NºAsuntos!E31),NºAsuntos!G31/NºAsuntos!E31," - ")</f>
        <v>1.062402292860865</v>
      </c>
      <c r="AM31" s="1187">
        <f>IF(ISNUMBER(((NºAsuntos!I31/NºAsuntos!G31)*11)/factor_trimestre),((NºAsuntos!I31/NºAsuntos!G31)*11)/factor_trimestre," - ")</f>
        <v>3.1995095033721643</v>
      </c>
      <c r="AN31" s="1187">
        <f>IF(ISNUMBER('Resol  Asuntos'!D31/NºAsuntos!G31),'Resol  Asuntos'!D31/NºAsuntos!G31," - ")</f>
        <v>0.1325567136725935</v>
      </c>
      <c r="AO31" s="1188">
        <f>IF(ISNUMBER((NºAsuntos!C31+NºAsuntos!E31)/NºAsuntos!G31),(NºAsuntos!C31+NºAsuntos!E31)/NºAsuntos!G31," - ")</f>
        <v>1.2857142857142858</v>
      </c>
      <c r="AP31" s="1189" t="str">
        <f t="shared" si="2"/>
        <v xml:space="preserve"> - </v>
      </c>
      <c r="AQ31" s="1190">
        <f>IF(OR(ISNUMBER(FIND("01",Criterios!A8,1)),ISNUMBER(FIND("02",Criterios!A8,1)),ISNUMBER(FIND("03",Criterios!A8,1)),ISNUMBER(FIND("04",Criterios!A8,1))),(I31-W31+K31)/(F31-K31),(H31-W31+K31)/(F31-K31))</f>
        <v>-5.6772216547497445</v>
      </c>
      <c r="AR31" s="1191">
        <f>IF(ISNUMBER((Datos!P31-Datos!Q31)/(Datos!R31-Datos!P31+Datos!Q31)),(Datos!P31-Datos!Q31)/(Datos!R31-Datos!P31+Datos!Q31)," - ")</f>
        <v>-2.5210084033613446E-2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300</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1.2565617248750864</v>
      </c>
      <c r="F33" s="276">
        <f>IF(ISNUMBER(STDEV(F8:F30)),STDEV(F8:F30),"-")</f>
        <v>489.37701894006699</v>
      </c>
      <c r="G33" s="277">
        <f>IF(ISNUMBER(STDEV(G8:G30)),STDEV(G8:G30),"-")</f>
        <v>475.90475237523458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2611.2931662300962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275.7601183223253</v>
      </c>
      <c r="AJ33" s="276">
        <f t="shared" si="24"/>
        <v>0</v>
      </c>
      <c r="AK33" s="278">
        <f t="shared" si="24"/>
        <v>0</v>
      </c>
      <c r="AL33" s="273">
        <f t="shared" si="24"/>
        <v>0.1576991415914949</v>
      </c>
      <c r="AM33" s="274">
        <f t="shared" si="24"/>
        <v>2.430049164964116</v>
      </c>
      <c r="AN33" s="274">
        <f t="shared" si="24"/>
        <v>0.21410153474109117</v>
      </c>
      <c r="AO33" s="275">
        <f t="shared" si="24"/>
        <v>0.22452511266562497</v>
      </c>
      <c r="AP33" s="317" t="str">
        <f t="shared" si="24"/>
        <v>-</v>
      </c>
      <c r="AQ33" s="318">
        <f t="shared" si="24"/>
        <v>2.6227763753316116</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fJavy/Pg8gsO6aBiRDi0a1T818R5HlJfkVXO+MTu0H35gVf8E4RumGKosxgdVKjvW6WjLTljnsvs5qGy2dEYCw==" saltValue="WZTQwjDQnCHsRhjo+HotS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ANTEQUERA</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0.38461538461538464</v>
      </c>
      <c r="E10" s="394">
        <f>IF(ISNUMBER((Datos!J10-Datos!T10)/Datos!T10),(Datos!J10-Datos!T10)/Datos!T10," - ")</f>
        <v>0.57894736842105265</v>
      </c>
      <c r="F10" s="394">
        <f>IF(ISNUMBER((Datos!K10-Datos!U10)/Datos!U10),(Datos!K10-Datos!U10)/Datos!U10," - ")</f>
        <v>2.0714285714285716</v>
      </c>
      <c r="G10" s="395">
        <f>IF(ISNUMBER((Datos!L10-Datos!V10)/Datos!V10),(Datos!L10-Datos!V10)/Datos!V10," - ")</f>
        <v>-0.55555555555555558</v>
      </c>
      <c r="H10" s="244">
        <f>IF(ISNUMBER((Datos!M10-Datos!W10)/Datos!W10),(Datos!M10-Datos!W10)/Datos!W10," - ")</f>
        <v>8.3333333333333339</v>
      </c>
      <c r="I10" s="396">
        <f>IF(ISNUMBER((Tasas!C10-Datos!BE10)/Datos!BE10),(Tasas!C10-Datos!BE10)/Datos!BE10," - ")</f>
        <v>-0.85529715762273895</v>
      </c>
      <c r="J10" s="395">
        <f>IF(ISNUMBER((Tasas!D10-Datos!BF10)/Datos!BF10),(Tasas!D10-Datos!BF10)/Datos!BF10," - ")</f>
        <v>2.0387596899224807</v>
      </c>
      <c r="K10" s="397">
        <f>IF(ISNUMBER((Tasas!E10-Datos!BG10)/Datos!BG10),(Tasas!E10-Datos!BG10)/Datos!BG10," - ")</f>
        <v>-0.51162790697674421</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0.34936708860759491</v>
      </c>
      <c r="I12" s="396">
        <f>IF(ISNUMBER((Tasas!C12-Datos!BE12)/Datos!BE12),(Tasas!C12-Datos!BE12)/Datos!BE12," - ")</f>
        <v>-0.33027635201591549</v>
      </c>
      <c r="J12" s="395">
        <f>IF(ISNUMBER((Tasas!D12-Datos!BF12)/Datos!BF12),(Tasas!D12-Datos!BF12)/Datos!BF12," - ")</f>
        <v>-0.39581272426512909</v>
      </c>
      <c r="K12" s="397">
        <f>IF(ISNUMBER((Tasas!E12-Datos!BG12)/Datos!BG12),(Tasas!E12-Datos!BG12)/Datos!BG12," - ")</f>
        <v>-0.11971778823209756</v>
      </c>
      <c r="M12" t="e">
        <f>IF(Monitorios="SI",Datos!CE12,0)</f>
        <v>#REF!</v>
      </c>
      <c r="N12" t="e">
        <f>IF(Monitorios="SI",Datos!CF12,0)</f>
        <v>#REF!</v>
      </c>
      <c r="O12" t="e">
        <f>IF(Monitorios="SI",Datos!CG12,0)</f>
        <v>#REF!</v>
      </c>
      <c r="P12" t="e">
        <f>IF(Monitorios="SI",Datos!CH12,0)</f>
        <v>#REF!</v>
      </c>
      <c r="Q12">
        <f>IF(J_V="SI",0,Datos!AG12)</f>
        <v>47</v>
      </c>
      <c r="R12">
        <f>IF(J_V="SI",0,Datos!AH12)</f>
        <v>176</v>
      </c>
      <c r="S12">
        <f>IF(J_V="SI",0,Datos!AI12)</f>
        <v>148</v>
      </c>
      <c r="T12">
        <f>IF(J_V="SI",0,Datos!AJ12)</f>
        <v>75</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0.40954773869346733</v>
      </c>
      <c r="I14" s="403">
        <f>IF(ISNUMBER((Tasas!C14-Datos!BE14)/Datos!BE14),(Tasas!C14-Datos!BE14)/Datos!BE14," - ")</f>
        <v>-0.33981983595095588</v>
      </c>
      <c r="J14" s="401">
        <f>IF(ISNUMBER((Tasas!D14-Datos!BF14)/Datos!BF14),(Tasas!D14-Datos!BF14)/Datos!BF14," - ")</f>
        <v>-0.37277190332326288</v>
      </c>
      <c r="K14" s="404">
        <f>IF(ISNUMBER((Tasas!E14-Datos!BG14)/Datos!BG14),(Tasas!E14-Datos!BG14)/Datos!BG14," - ")</f>
        <v>-0.12565552446235873</v>
      </c>
      <c r="M14" t="e">
        <f>IF(Monitorios="SI",Datos!CE14,0)</f>
        <v>#REF!</v>
      </c>
      <c r="N14" t="e">
        <f>IF(Monitorios="SI",Datos!CF14,0)</f>
        <v>#REF!</v>
      </c>
      <c r="O14" t="e">
        <f>IF(Monitorios="SI",Datos!CG14,0)</f>
        <v>#REF!</v>
      </c>
      <c r="P14" t="e">
        <f>IF(Monitorios="SI",Datos!CH14,0)</f>
        <v>#REF!</v>
      </c>
      <c r="Q14">
        <f>IF(J_V="SI",0,Datos!AG14)</f>
        <v>47</v>
      </c>
      <c r="R14">
        <f>IF(J_V="SI",0,Datos!AH14)</f>
        <v>176</v>
      </c>
      <c r="S14">
        <f>IF(J_V="SI",0,Datos!AI14)</f>
        <v>148</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-0.12829845313921748</v>
      </c>
      <c r="E17" s="394">
        <f>IF(ISNUMBER(
   IF(D_I="SI",(Datos!J17-Datos!T17)/Datos!T17,(Datos!J17+Datos!AD17-(Datos!T17+Datos!AL17))/(Datos!T17+Datos!AL17))
     ),IF(D_I="SI",(Datos!J17-Datos!T17)/Datos!T17,(Datos!J17+Datos!AD17-(Datos!T17+Datos!AL17))/(Datos!T17+Datos!AL17))," - ")</f>
        <v>0.16901734104046243</v>
      </c>
      <c r="F17" s="394">
        <f>IF(ISNUMBER(
   IF(D_I="SI",(Datos!K17-Datos!U17)/Datos!U17,(Datos!K17+Datos!AE17-(Datos!U17+Datos!AM17))/(Datos!U17+Datos!AM17))
     ),IF(D_I="SI",(Datos!K17-Datos!U17)/Datos!U17,(Datos!K17+Datos!AE17-(Datos!U17+Datos!AM17))/(Datos!U17+Datos!AM17))," - ")</f>
        <v>0.23422584400465657</v>
      </c>
      <c r="G17" s="395">
        <f>IF(ISNUMBER(
   IF(D_I="SI",(Datos!L17-Datos!V17)/Datos!V17,(Datos!L17+Datos!AF17-(Datos!V17+Datos!AN17))/(Datos!V17+Datos!AN17))
     ),IF(D_I="SI",(Datos!L17-Datos!V17)/Datos!V17,(Datos!L17+Datos!AF17-(Datos!V17+Datos!AN17))/(Datos!V17+Datos!AN17))," - ")</f>
        <v>-0.25574112734864302</v>
      </c>
      <c r="H17" s="244">
        <f>IF(ISNUMBER((Datos!M17-Datos!W17)/Datos!W17),(Datos!M17-Datos!W17)/Datos!W17," - ")</f>
        <v>0.67003367003366998</v>
      </c>
      <c r="I17" s="396">
        <f>IF(ISNUMBER((Tasas!C17-Datos!BE17)/Datos!BE17),(Tasas!C17-Datos!BE17)/Datos!BE17," - ")</f>
        <v>-0.39698323749526915</v>
      </c>
      <c r="J17" s="395">
        <f>IF(ISNUMBER((Tasas!D17-Datos!BF17)/Datos!BF17),(Tasas!D17-Datos!BF17)/Datos!BF17," - ")</f>
        <v>0.35310217181562203</v>
      </c>
      <c r="K17" s="397">
        <f>IF(ISNUMBER((Tasas!E17-Datos!BG17)/Datos!BG17),(Tasas!E17-Datos!BG17)/Datos!BG17," - ")</f>
        <v>-0.10164268833341951</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0.32142857142857145</v>
      </c>
      <c r="E18" s="394">
        <f>IF(ISNUMBER(
   IF(D_I="SI",(Datos!J18-Datos!T18)/Datos!T18,(Datos!J18+Datos!AD18-(Datos!T18+Datos!AL18))/(Datos!T18+Datos!AL18))
     ),IF(D_I="SI",(Datos!J18-Datos!T18)/Datos!T18,(Datos!J18+Datos!AD18-(Datos!T18+Datos!AL18))/(Datos!T18+Datos!AL18))," - ")</f>
        <v>-4.6511627906976744E-3</v>
      </c>
      <c r="F18" s="394">
        <f>IF(ISNUMBER(
   IF(D_I="SI",(Datos!K18-Datos!U18)/Datos!U18,(Datos!K18+Datos!AE18-(Datos!U18+Datos!AM18))/(Datos!U18+Datos!AM18))
     ),IF(D_I="SI",(Datos!K18-Datos!U18)/Datos!U18,(Datos!K18+Datos!AE18-(Datos!U18+Datos!AM18))/(Datos!U18+Datos!AM18))," - ")</f>
        <v>5.4187192118226604E-2</v>
      </c>
      <c r="G18" s="395">
        <f>IF(ISNUMBER(
   IF(D_I="SI",(Datos!L18-Datos!V18)/Datos!V18,(Datos!L18+Datos!AF18-(Datos!V18+Datos!AN18))/(Datos!V18+Datos!AN18))
     ),IF(D_I="SI",(Datos!L18-Datos!V18)/Datos!V18,(Datos!L18+Datos!AF18-(Datos!V18+Datos!AN18))/(Datos!V18+Datos!AN18))," - ")</f>
        <v>0</v>
      </c>
      <c r="H18" s="244">
        <f>IF(ISNUMBER((Datos!M18-Datos!W18)/Datos!W18),(Datos!M18-Datos!W18)/Datos!W18," - ")</f>
        <v>0.7142857142857143</v>
      </c>
      <c r="I18" s="396">
        <f>IF(ISNUMBER((Tasas!C18-Datos!BE18)/Datos!BE18),(Tasas!C18-Datos!BE18)/Datos!BE18," - ")</f>
        <v>-5.1401869158878552E-2</v>
      </c>
      <c r="J18" s="395">
        <f>IF(ISNUMBER((Tasas!D18-Datos!BF18)/Datos!BF18),(Tasas!D18-Datos!BF18)/Datos!BF18," - ")</f>
        <v>0.62616822429906538</v>
      </c>
      <c r="K18" s="397">
        <f>IF(ISNUMBER((Tasas!E18-Datos!BG18)/Datos!BG18),(Tasas!E18-Datos!BG18)/Datos!BG18," - ")</f>
        <v>8.1042866503430577E-3</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-0.10649350649350649</v>
      </c>
      <c r="E23" s="400">
        <f>IF(ISNUMBER(
   IF(D_I="SI",(Datos!J23-Datos!T23)/Datos!T23,(Datos!J23+Datos!AD23-(Datos!T23+Datos!AL23))/(Datos!T23+Datos!AL23))
     ),IF(D_I="SI",(Datos!J23-Datos!T23)/Datos!T23,(Datos!J23+Datos!AD23-(Datos!T23+Datos!AL23))/(Datos!T23+Datos!AL23))," - ")</f>
        <v>0.16079295154185022</v>
      </c>
      <c r="F23" s="400">
        <f>IF(ISNUMBER(
   IF(D_I="SI",(Datos!K23-Datos!U23)/Datos!U23,(Datos!K23+Datos!AE23-(Datos!U23+Datos!AM23))/(Datos!U23+Datos!AM23))
     ),IF(D_I="SI",(Datos!K23-Datos!U23)/Datos!U23,(Datos!K23+Datos!AE23-(Datos!U23+Datos!AM23))/(Datos!U23+Datos!AM23))," - ")</f>
        <v>0.22610048910626945</v>
      </c>
      <c r="G23" s="401">
        <f>IF(ISNUMBER(
   IF(D_I="SI",(Datos!L23-Datos!V23)/Datos!V23,(Datos!L23+Datos!AF23-(Datos!V23+Datos!AN23))/(Datos!V23+Datos!AN23))
     ),IF(D_I="SI",(Datos!L23-Datos!V23)/Datos!V23,(Datos!L23+Datos!AF23-(Datos!V23+Datos!AN23))/(Datos!V23+Datos!AN23))," - ")</f>
        <v>-0.2374031007751938</v>
      </c>
      <c r="H23" s="402">
        <f>IF(ISNUMBER((Datos!M23-Datos!W23)/Datos!W23),(Datos!M23-Datos!W23)/Datos!W23," - ")</f>
        <v>0.67202572347266876</v>
      </c>
      <c r="I23" s="403">
        <f>IF(ISNUMBER((Tasas!C23-Datos!BE23)/Datos!BE23),(Tasas!C23-Datos!BE23)/Datos!BE23," - ")</f>
        <v>-0.37803067040558869</v>
      </c>
      <c r="J23" s="401">
        <f>IF(ISNUMBER((Tasas!D23-Datos!BF23)/Datos!BF23),(Tasas!D23-Datos!BF23)/Datos!BF23," - ")</f>
        <v>0.36369387201814396</v>
      </c>
      <c r="K23" s="404">
        <f>IF(ISNUMBER((Tasas!E23-Datos!BG23)/Datos!BG23),(Tasas!E23-Datos!BG23)/Datos!BG23," - ")</f>
        <v>-9.747632166085482E-2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0.14699877501020825</v>
      </c>
      <c r="E31" s="410">
        <f>IF(ISNUMBER(
   IF(J_V="SI",(Datos!J31-Datos!T31)/Datos!T31,(Datos!J31+Datos!Z31-(Datos!T31+Datos!AH31))/(Datos!T31+Datos!AH31))
     ),IF(J_V="SI",(Datos!J31-Datos!T31)/Datos!T31,(Datos!J31+Datos!Z31-(Datos!T31+Datos!AH31))/(Datos!T31+Datos!AH31))," - ")</f>
        <v>0.13098570797112127</v>
      </c>
      <c r="F31" s="410">
        <f>IF(ISNUMBER(
   IF(J_V="SI",(Datos!K31-Datos!U31)/Datos!U31,(Datos!K31+Datos!AA31-(Datos!U31+Datos!AI31))/(Datos!U31+Datos!AI31))
     ),IF(J_V="SI",(Datos!K31-Datos!U31)/Datos!U31,(Datos!K31+Datos!AA31-(Datos!U31+Datos!AI31))/(Datos!U31+Datos!AI31))," - ")</f>
        <v>0.26394916305021698</v>
      </c>
      <c r="G31" s="411">
        <f>IF(ISNUMBER(
   IF(J_V="SI",(Datos!L31-Datos!V31)/Datos!V31,(Datos!L31+Datos!AB31-(Datos!V31+Datos!AJ31))/(Datos!V31+Datos!AJ31))
     ),IF(J_V="SI",(Datos!L31-Datos!V31)/Datos!V31,(Datos!L31+Datos!AB31-(Datos!V31+Datos!AJ31))/(Datos!V31+Datos!AJ31))," - ")</f>
        <v>-0.15557137771448915</v>
      </c>
      <c r="H31" s="412">
        <f>IF(ISNUMBER((Datos!M31-Datos!W31)/Datos!W31),(Datos!M31-Datos!W31)/Datos!W31," - ")</f>
        <v>0.52468265162200278</v>
      </c>
      <c r="I31" s="409">
        <f>IF(ISNUMBER((Tasas!C31-Datos!BE31)/Datos!BE31),(Tasas!C31-Datos!BE31)/Datos!BE31," - ")</f>
        <v>-0.33191251122181287</v>
      </c>
      <c r="J31" s="410">
        <f>IF(ISNUMBER((Tasas!D31-Datos!BF31)/Datos!BF31),(Tasas!D31-Datos!BF31)/Datos!BF31," - ")</f>
        <v>-0.12101139093980133</v>
      </c>
      <c r="K31" s="411">
        <f>IF(ISNUMBER((Tasas!E31-Datos!BG31)/Datos!BG31),(Tasas!E31-Datos!BG31)/Datos!BG31," - ")</f>
        <v>-0.1018375301614798</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0.27296340999375601</v>
      </c>
      <c r="E33" s="303">
        <f t="shared" si="1"/>
        <v>0.24850941197957493</v>
      </c>
      <c r="F33" s="303">
        <f t="shared" si="1"/>
        <v>0.95358300174961541</v>
      </c>
      <c r="G33" s="304">
        <f t="shared" si="1"/>
        <v>0.22764220662520138</v>
      </c>
      <c r="H33" s="310">
        <f t="shared" si="1"/>
        <v>3.1758403702579892</v>
      </c>
      <c r="I33" s="302">
        <f t="shared" si="1"/>
        <v>0.25977062574021498</v>
      </c>
      <c r="J33" s="303">
        <f t="shared" si="1"/>
        <v>0.89029498922372474</v>
      </c>
      <c r="K33" s="304">
        <f t="shared" si="1"/>
        <v>0.17999682533180461</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rSGeU8wToNw+9c9nTi90er+o0s4Y97kqKCVbDLZH4a+PvRLq7DvVwcOMgXfvHGwultNzAm2MZnIZX+cw3sN/g==" saltValue="N0t9mhhxPTAdOr3WkM/pf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